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60" windowWidth="19320" windowHeight="11016" tabRatio="1000"/>
  </bookViews>
  <sheets>
    <sheet name="Содержание" sheetId="1" r:id="rId1"/>
    <sheet name="Ламинированные" sheetId="2" r:id="rId2"/>
    <sheet name="Диаграмма2" sheetId="6" state="hidden" r:id="rId3"/>
    <sheet name="Диаграмма1" sheetId="5" state="hidden" r:id="rId4"/>
    <sheet name="Синтетические" sheetId="3" r:id="rId5"/>
    <sheet name="Изолированные" sheetId="4" r:id="rId6"/>
    <sheet name="Полужесткие" sheetId="7" r:id="rId7"/>
    <sheet name="Шумоглушители" sheetId="8" r:id="rId8"/>
    <sheet name="Диффузоры" sheetId="9" r:id="rId9"/>
    <sheet name="Клапаны" sheetId="11" r:id="rId10"/>
    <sheet name="Монтаж" sheetId="12" r:id="rId11"/>
    <sheet name="Герметизация" sheetId="13" r:id="rId1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" i="13" l="1"/>
  <c r="F1" i="13"/>
  <c r="H1" i="12"/>
  <c r="F1" i="12"/>
  <c r="B1" i="12"/>
  <c r="B1" i="11"/>
  <c r="B1" i="9"/>
  <c r="B1" i="4"/>
  <c r="B1" i="2"/>
  <c r="B1" i="13"/>
  <c r="F1" i="2"/>
  <c r="H1" i="2"/>
  <c r="H8" i="3" l="1"/>
  <c r="H15" i="3"/>
  <c r="F14" i="2"/>
  <c r="F13" i="2"/>
  <c r="F12" i="2"/>
  <c r="F11" i="2"/>
  <c r="F10" i="2"/>
  <c r="F9" i="2"/>
  <c r="F8" i="2"/>
  <c r="H14" i="2"/>
  <c r="H13" i="2"/>
  <c r="H12" i="2"/>
  <c r="H11" i="2"/>
  <c r="H10" i="2"/>
  <c r="H9" i="2"/>
  <c r="H8" i="2"/>
  <c r="H1" i="9" l="1"/>
  <c r="F1" i="9"/>
  <c r="F55" i="2" l="1"/>
  <c r="F51" i="2" l="1"/>
  <c r="F50" i="2"/>
  <c r="F52" i="2"/>
  <c r="F53" i="2"/>
  <c r="F54" i="2"/>
  <c r="F1" i="3"/>
  <c r="F84" i="9" l="1"/>
  <c r="B1" i="8"/>
  <c r="B1" i="7"/>
  <c r="B1" i="3"/>
  <c r="F24" i="9"/>
  <c r="F8" i="13" l="1"/>
  <c r="F10" i="13"/>
  <c r="F15" i="13"/>
  <c r="F20" i="13"/>
  <c r="F25" i="13"/>
  <c r="F9" i="13"/>
  <c r="F14" i="13"/>
  <c r="F19" i="13"/>
  <c r="F24" i="13"/>
  <c r="F26" i="13"/>
  <c r="F90" i="9"/>
  <c r="F67" i="9"/>
  <c r="F57" i="9"/>
  <c r="F75" i="9"/>
  <c r="F41" i="9"/>
  <c r="F10" i="9"/>
  <c r="F82" i="9"/>
  <c r="F68" i="9"/>
  <c r="F49" i="9"/>
  <c r="F31" i="9"/>
  <c r="F17" i="9"/>
  <c r="F89" i="9"/>
  <c r="F83" i="9"/>
  <c r="F77" i="9"/>
  <c r="F70" i="9"/>
  <c r="F62" i="9"/>
  <c r="F55" i="9"/>
  <c r="F47" i="9"/>
  <c r="F36" i="9"/>
  <c r="F29" i="9"/>
  <c r="F22" i="9"/>
  <c r="F15" i="9"/>
  <c r="F8" i="9"/>
  <c r="F91" i="9"/>
  <c r="F78" i="9"/>
  <c r="F76" i="9"/>
  <c r="F71" i="9"/>
  <c r="F69" i="9"/>
  <c r="F63" i="9"/>
  <c r="F58" i="9"/>
  <c r="F56" i="9"/>
  <c r="F50" i="9"/>
  <c r="F48" i="9"/>
  <c r="F42" i="9"/>
  <c r="F37" i="9"/>
  <c r="F32" i="9"/>
  <c r="F30" i="9"/>
  <c r="F25" i="9"/>
  <c r="F23" i="9"/>
  <c r="F18" i="9"/>
  <c r="F16" i="9"/>
  <c r="F11" i="9"/>
  <c r="F9" i="9"/>
  <c r="F88" i="9"/>
  <c r="F1" i="4"/>
  <c r="H42" i="4"/>
  <c r="H41" i="4"/>
  <c r="H13" i="4" l="1"/>
  <c r="H1" i="4" s="1"/>
  <c r="G21" i="1" s="1"/>
  <c r="G27" i="1"/>
  <c r="H1" i="8"/>
  <c r="G25" i="1" s="1"/>
  <c r="F1" i="8"/>
  <c r="G33" i="1"/>
  <c r="F33" i="1"/>
  <c r="F35" i="13"/>
  <c r="F44" i="13"/>
  <c r="F40" i="13"/>
  <c r="F36" i="13"/>
  <c r="F34" i="13"/>
  <c r="F33" i="13"/>
  <c r="F32" i="13"/>
  <c r="F31" i="13"/>
  <c r="F30" i="13"/>
  <c r="F54" i="12"/>
  <c r="F50" i="12"/>
  <c r="F46" i="12"/>
  <c r="F45" i="12"/>
  <c r="F44" i="12"/>
  <c r="F43" i="12"/>
  <c r="F39" i="12"/>
  <c r="F38" i="12"/>
  <c r="F37" i="12"/>
  <c r="F36" i="12"/>
  <c r="F35" i="12"/>
  <c r="F34" i="12"/>
  <c r="F33" i="12"/>
  <c r="F32" i="12"/>
  <c r="F31" i="12"/>
  <c r="F30" i="12"/>
  <c r="F29" i="12"/>
  <c r="F28" i="12"/>
  <c r="F27" i="12"/>
  <c r="F26" i="12"/>
  <c r="F25" i="12"/>
  <c r="F24" i="12"/>
  <c r="F23" i="12"/>
  <c r="F22" i="12"/>
  <c r="F21" i="12"/>
  <c r="F20" i="12"/>
  <c r="F19" i="12"/>
  <c r="F18" i="12"/>
  <c r="F17" i="12"/>
  <c r="F16" i="12"/>
  <c r="F12" i="12"/>
  <c r="F8" i="12"/>
  <c r="G31" i="1"/>
  <c r="F31" i="1"/>
  <c r="F23" i="11"/>
  <c r="F22" i="11"/>
  <c r="F21" i="11"/>
  <c r="F20" i="11"/>
  <c r="F19" i="11"/>
  <c r="F18" i="11"/>
  <c r="F17" i="11"/>
  <c r="F13" i="11"/>
  <c r="F12" i="11"/>
  <c r="F11" i="11"/>
  <c r="F10" i="11"/>
  <c r="F9" i="11"/>
  <c r="F8" i="11"/>
  <c r="H1" i="11"/>
  <c r="G29" i="1" s="1"/>
  <c r="F1" i="11"/>
  <c r="F54" i="9"/>
  <c r="F46" i="9"/>
  <c r="F28" i="8"/>
  <c r="F27" i="8"/>
  <c r="F26" i="8"/>
  <c r="F25" i="8"/>
  <c r="F24" i="8"/>
  <c r="F23" i="8"/>
  <c r="F22" i="8"/>
  <c r="F21" i="8"/>
  <c r="F20" i="8"/>
  <c r="F16" i="8"/>
  <c r="F15" i="8"/>
  <c r="F14" i="8"/>
  <c r="F13" i="8"/>
  <c r="F12" i="8"/>
  <c r="F11" i="8"/>
  <c r="F10" i="8"/>
  <c r="F9" i="8"/>
  <c r="F8" i="8"/>
  <c r="H22" i="7"/>
  <c r="F22" i="7"/>
  <c r="H21" i="7"/>
  <c r="F21" i="7"/>
  <c r="H20" i="7"/>
  <c r="F20" i="7"/>
  <c r="H19" i="7"/>
  <c r="F19" i="7"/>
  <c r="H18" i="7"/>
  <c r="F18" i="7"/>
  <c r="H17" i="7"/>
  <c r="F17" i="7"/>
  <c r="H13" i="7"/>
  <c r="F13" i="7"/>
  <c r="H12" i="7"/>
  <c r="F12" i="7"/>
  <c r="H11" i="7"/>
  <c r="F11" i="7"/>
  <c r="H10" i="7"/>
  <c r="F10" i="7"/>
  <c r="H9" i="7"/>
  <c r="F9" i="7"/>
  <c r="H8" i="7"/>
  <c r="F8" i="7"/>
  <c r="H1" i="7"/>
  <c r="G23" i="1" s="1"/>
  <c r="F1" i="7"/>
  <c r="H43" i="4"/>
  <c r="F43" i="4"/>
  <c r="F42" i="4"/>
  <c r="F41" i="4"/>
  <c r="H40" i="4"/>
  <c r="F40" i="4"/>
  <c r="H39" i="4"/>
  <c r="F39" i="4"/>
  <c r="H38" i="4"/>
  <c r="F38" i="4"/>
  <c r="H37" i="4"/>
  <c r="F37" i="4"/>
  <c r="H33" i="4"/>
  <c r="F33" i="4"/>
  <c r="H32" i="4"/>
  <c r="F32" i="4"/>
  <c r="H31" i="4"/>
  <c r="F31" i="4"/>
  <c r="H30" i="4"/>
  <c r="F30" i="4"/>
  <c r="H29" i="4"/>
  <c r="F29" i="4"/>
  <c r="H28" i="4"/>
  <c r="F28" i="4"/>
  <c r="H27" i="4"/>
  <c r="F27" i="4"/>
  <c r="H26" i="4"/>
  <c r="F26" i="4"/>
  <c r="H25" i="4"/>
  <c r="F25" i="4"/>
  <c r="H24" i="4"/>
  <c r="F24" i="4"/>
  <c r="H23" i="4"/>
  <c r="F23" i="4"/>
  <c r="H22" i="4"/>
  <c r="F22" i="4"/>
  <c r="H18" i="4"/>
  <c r="F18" i="4"/>
  <c r="H17" i="4"/>
  <c r="F17" i="4"/>
  <c r="H16" i="4"/>
  <c r="F16" i="4"/>
  <c r="H15" i="4"/>
  <c r="F15" i="4"/>
  <c r="H14" i="4"/>
  <c r="F14" i="4"/>
  <c r="F13" i="4"/>
  <c r="H12" i="4"/>
  <c r="F12" i="4"/>
  <c r="H11" i="4"/>
  <c r="F11" i="4"/>
  <c r="H10" i="4"/>
  <c r="F10" i="4"/>
  <c r="H9" i="4"/>
  <c r="F9" i="4"/>
  <c r="H8" i="4"/>
  <c r="F8" i="4"/>
  <c r="H25" i="3"/>
  <c r="H24" i="3"/>
  <c r="H23" i="3"/>
  <c r="H22" i="3"/>
  <c r="F22" i="3"/>
  <c r="H21" i="3"/>
  <c r="H20" i="3"/>
  <c r="F20" i="3"/>
  <c r="H19" i="3"/>
  <c r="F19" i="3"/>
  <c r="H14" i="3"/>
  <c r="F14" i="3"/>
  <c r="H13" i="3"/>
  <c r="F13" i="3"/>
  <c r="H12" i="3"/>
  <c r="F12" i="3"/>
  <c r="H11" i="3"/>
  <c r="F11" i="3"/>
  <c r="H10" i="3"/>
  <c r="F10" i="3"/>
  <c r="H9" i="3"/>
  <c r="F9" i="3"/>
  <c r="F19" i="1"/>
  <c r="H43" i="2"/>
  <c r="F43" i="2"/>
  <c r="H42" i="2"/>
  <c r="F42" i="2"/>
  <c r="H41" i="2"/>
  <c r="F41" i="2"/>
  <c r="H40" i="2"/>
  <c r="F40" i="2"/>
  <c r="H39" i="2"/>
  <c r="F39" i="2"/>
  <c r="H38" i="2"/>
  <c r="F38" i="2"/>
  <c r="H37" i="2"/>
  <c r="F37" i="2"/>
  <c r="H36" i="2"/>
  <c r="F36" i="2"/>
  <c r="H35" i="2"/>
  <c r="F35" i="2"/>
  <c r="H34" i="2"/>
  <c r="F34" i="2"/>
  <c r="H33" i="2"/>
  <c r="F33" i="2"/>
  <c r="H28" i="2"/>
  <c r="F28" i="2"/>
  <c r="H27" i="2"/>
  <c r="F27" i="2"/>
  <c r="H26" i="2"/>
  <c r="F26" i="2"/>
  <c r="H25" i="2"/>
  <c r="F25" i="2"/>
  <c r="H24" i="2"/>
  <c r="F24" i="2"/>
  <c r="H23" i="2"/>
  <c r="F23" i="2"/>
  <c r="H22" i="2"/>
  <c r="F22" i="2"/>
  <c r="H21" i="2"/>
  <c r="F21" i="2"/>
  <c r="H20" i="2"/>
  <c r="F20" i="2"/>
  <c r="H19" i="2"/>
  <c r="F19" i="2"/>
  <c r="H18" i="2"/>
  <c r="F18" i="2"/>
  <c r="G17" i="1"/>
  <c r="F17" i="1"/>
  <c r="F29" i="1"/>
  <c r="F25" i="1"/>
  <c r="F23" i="1"/>
  <c r="F21" i="1"/>
  <c r="D1" i="12" l="1"/>
  <c r="E31" i="1" s="1"/>
  <c r="D1" i="13"/>
  <c r="E33" i="1" s="1"/>
  <c r="D1" i="2"/>
  <c r="E17" i="1" s="1"/>
  <c r="H1" i="3"/>
  <c r="G19" i="1" s="1"/>
  <c r="G34" i="1" s="1"/>
  <c r="D1" i="9"/>
  <c r="E27" i="1" s="1"/>
  <c r="D1" i="7"/>
  <c r="E23" i="1" s="1"/>
  <c r="D1" i="3"/>
  <c r="E19" i="1" s="1"/>
  <c r="F27" i="1"/>
  <c r="F34" i="1" s="1"/>
  <c r="D1" i="4"/>
  <c r="E21" i="1" s="1"/>
  <c r="D1" i="11"/>
  <c r="E29" i="1" s="1"/>
  <c r="D1" i="8"/>
  <c r="E25" i="1" s="1"/>
  <c r="E34" i="1" l="1"/>
</calcChain>
</file>

<file path=xl/sharedStrings.xml><?xml version="1.0" encoding="utf-8"?>
<sst xmlns="http://schemas.openxmlformats.org/spreadsheetml/2006/main" count="905" uniqueCount="566">
  <si>
    <t>Прайс-лист</t>
  </si>
  <si>
    <t xml:space="preserve">1. </t>
  </si>
  <si>
    <t>Ламинированные воздуховоды</t>
  </si>
  <si>
    <t>Синтетические воздуховоды</t>
  </si>
  <si>
    <t>2.</t>
  </si>
  <si>
    <t>3.</t>
  </si>
  <si>
    <t>Изолированные воздуховоды</t>
  </si>
  <si>
    <t>4.</t>
  </si>
  <si>
    <t>Полужесткие воздуховоды</t>
  </si>
  <si>
    <t>5.</t>
  </si>
  <si>
    <t>Шумоглушители</t>
  </si>
  <si>
    <t>6.</t>
  </si>
  <si>
    <t>7.</t>
  </si>
  <si>
    <t>8.</t>
  </si>
  <si>
    <t>9.</t>
  </si>
  <si>
    <t>Монтаж</t>
  </si>
  <si>
    <t xml:space="preserve">Герметизация </t>
  </si>
  <si>
    <t>Содержание</t>
  </si>
  <si>
    <t>Артикул</t>
  </si>
  <si>
    <t>Наименование</t>
  </si>
  <si>
    <t>DA3102</t>
  </si>
  <si>
    <t>DA3127</t>
  </si>
  <si>
    <t>DA3152</t>
  </si>
  <si>
    <t>DA3160</t>
  </si>
  <si>
    <t>DA3203</t>
  </si>
  <si>
    <t>DA3254</t>
  </si>
  <si>
    <t>DA3315</t>
  </si>
  <si>
    <t>DA3356</t>
  </si>
  <si>
    <t>DA3406</t>
  </si>
  <si>
    <t>DA3457</t>
  </si>
  <si>
    <t>DA3508</t>
  </si>
  <si>
    <t>Aludec 102</t>
  </si>
  <si>
    <t>Aludec 127</t>
  </si>
  <si>
    <t>Aludec 152</t>
  </si>
  <si>
    <t>Aludec 160</t>
  </si>
  <si>
    <t>Aludec 203</t>
  </si>
  <si>
    <t>Aludec 254</t>
  </si>
  <si>
    <t>Aludec 315</t>
  </si>
  <si>
    <t>Aludec 356</t>
  </si>
  <si>
    <t>Aludec 406</t>
  </si>
  <si>
    <t>Aludec 457</t>
  </si>
  <si>
    <t>Aludec 508</t>
  </si>
  <si>
    <t>ALUDEC 245</t>
  </si>
  <si>
    <t>Aludec 245-102</t>
  </si>
  <si>
    <t>Aludec 245-127</t>
  </si>
  <si>
    <t>Aludec 245-152</t>
  </si>
  <si>
    <t>Aludec 245-160</t>
  </si>
  <si>
    <t>Aludec 245-203</t>
  </si>
  <si>
    <t>Aludec 245-254</t>
  </si>
  <si>
    <t>Aludec 245-315</t>
  </si>
  <si>
    <t>Aludec 245-356</t>
  </si>
  <si>
    <t>Aludec 245-406</t>
  </si>
  <si>
    <t>Aludec 245-457</t>
  </si>
  <si>
    <t>Aludec 245-508</t>
  </si>
  <si>
    <t>DA245102</t>
  </si>
  <si>
    <t>DA245127</t>
  </si>
  <si>
    <t>DA245152</t>
  </si>
  <si>
    <t>DA245160</t>
  </si>
  <si>
    <t>DA245203</t>
  </si>
  <si>
    <t>DA245254</t>
  </si>
  <si>
    <t>DA245315</t>
  </si>
  <si>
    <t>DA245356</t>
  </si>
  <si>
    <t>DA245406</t>
  </si>
  <si>
    <t>DA245457</t>
  </si>
  <si>
    <t>DA245508</t>
  </si>
  <si>
    <t>PVC White</t>
  </si>
  <si>
    <t>PVC 082</t>
  </si>
  <si>
    <t>PVC 102</t>
  </si>
  <si>
    <t>PVC 127</t>
  </si>
  <si>
    <t>PVC 152</t>
  </si>
  <si>
    <t>PVC 160</t>
  </si>
  <si>
    <t>PVC 203</t>
  </si>
  <si>
    <t>PVC 254</t>
  </si>
  <si>
    <t>PVC 315</t>
  </si>
  <si>
    <t>Greydec 100-102</t>
  </si>
  <si>
    <t>Greydec 100-127</t>
  </si>
  <si>
    <t>Greydec 100-203</t>
  </si>
  <si>
    <t>Greydec 100-160</t>
  </si>
  <si>
    <t>Greydec 100-254</t>
  </si>
  <si>
    <t>Greydec 100-315</t>
  </si>
  <si>
    <t>Greydec 100-356</t>
  </si>
  <si>
    <t>DG1102</t>
  </si>
  <si>
    <t>DG1127</t>
  </si>
  <si>
    <t>DG1203</t>
  </si>
  <si>
    <t>DG1160</t>
  </si>
  <si>
    <t>DG1254</t>
  </si>
  <si>
    <t>DG1315</t>
  </si>
  <si>
    <t>DG1356</t>
  </si>
  <si>
    <t>SONODEC 25</t>
  </si>
  <si>
    <t>Sonodec 25-102</t>
  </si>
  <si>
    <t>Sonodec 25-127</t>
  </si>
  <si>
    <t>Sonodec 25-152</t>
  </si>
  <si>
    <t>Sonodec 25-160</t>
  </si>
  <si>
    <t>Sonodec 25-203</t>
  </si>
  <si>
    <t>Sonodec 25-254</t>
  </si>
  <si>
    <t>Sonodec 25-315</t>
  </si>
  <si>
    <t>Sonodec 25-356</t>
  </si>
  <si>
    <t>Sonodec 25-406</t>
  </si>
  <si>
    <t>Sonodec 25-457</t>
  </si>
  <si>
    <t>Sonodec 25-508</t>
  </si>
  <si>
    <t>DS102</t>
  </si>
  <si>
    <t>DS127</t>
  </si>
  <si>
    <t>DS152</t>
  </si>
  <si>
    <t>DS160</t>
  </si>
  <si>
    <t>DS203</t>
  </si>
  <si>
    <t>DS254</t>
  </si>
  <si>
    <t>DS315</t>
  </si>
  <si>
    <t>DS356</t>
  </si>
  <si>
    <t>DS406</t>
  </si>
  <si>
    <t>DS457</t>
  </si>
  <si>
    <t>DS508</t>
  </si>
  <si>
    <t>ISODEC 25</t>
  </si>
  <si>
    <t>DI102</t>
  </si>
  <si>
    <t>DI127</t>
  </si>
  <si>
    <t>DI152</t>
  </si>
  <si>
    <t>DI160</t>
  </si>
  <si>
    <t>DI203</t>
  </si>
  <si>
    <t>DI254</t>
  </si>
  <si>
    <t>DI315</t>
  </si>
  <si>
    <t>DI356</t>
  </si>
  <si>
    <t>DI406</t>
  </si>
  <si>
    <t>DI457</t>
  </si>
  <si>
    <t>DI508</t>
  </si>
  <si>
    <t>Isodec 25-102</t>
  </si>
  <si>
    <t>Isodec 25-127</t>
  </si>
  <si>
    <t>Isodec 25-152</t>
  </si>
  <si>
    <t>Isodec 25-160</t>
  </si>
  <si>
    <t>Isodec 25-203</t>
  </si>
  <si>
    <t>Isodec 25-254</t>
  </si>
  <si>
    <t>Isodec 25-315</t>
  </si>
  <si>
    <t>Isodec 25-356</t>
  </si>
  <si>
    <t>Isodec 25-406</t>
  </si>
  <si>
    <t>Isodec 25-457</t>
  </si>
  <si>
    <t>Isodec 25-508</t>
  </si>
  <si>
    <t>DI082</t>
  </si>
  <si>
    <t>Isodec 25-082</t>
  </si>
  <si>
    <t>ISOSLEEVE 25</t>
  </si>
  <si>
    <t>Isosleeve 25-102</t>
  </si>
  <si>
    <t>Isosleeve 25-127</t>
  </si>
  <si>
    <t>Isosleeve 25-152</t>
  </si>
  <si>
    <t>Isosleeve 25-160</t>
  </si>
  <si>
    <t>Isosleeve 25-203</t>
  </si>
  <si>
    <t>Isosleeve 25-315</t>
  </si>
  <si>
    <t>DHB102</t>
  </si>
  <si>
    <t>DHB127</t>
  </si>
  <si>
    <t>DHB152</t>
  </si>
  <si>
    <t>DHB160</t>
  </si>
  <si>
    <t>DHB203</t>
  </si>
  <si>
    <t>DHB315</t>
  </si>
  <si>
    <t>SEMIDEC</t>
  </si>
  <si>
    <t>Легко монтируемая изоляционная оболочка для навивных спиральных воздуховодов. Диапазон температур -30 +140 С.  Толщина изоляции - 25 мм. Упаковка - 10 м.</t>
  </si>
  <si>
    <t>Гибкие теплоизолированные воздуховоды. Максимальное давление 2 500 Па, Диапазон температур -30 +140 С.   Упаковка - 10 м.</t>
  </si>
  <si>
    <t>Гибкие воздуховоды со звуко- и термоизоляцией. Максимальное давление 2 500 Па, Диапазон температур -30 +140 С. Упаковка - 10 м.</t>
  </si>
  <si>
    <t>Semidec 100</t>
  </si>
  <si>
    <t>Semidec 125</t>
  </si>
  <si>
    <t>Semidec 160</t>
  </si>
  <si>
    <t>Semidec 200</t>
  </si>
  <si>
    <t>Semidec 250</t>
  </si>
  <si>
    <t>DXD100</t>
  </si>
  <si>
    <t>DXD125</t>
  </si>
  <si>
    <t>DXD160</t>
  </si>
  <si>
    <t>DXD200</t>
  </si>
  <si>
    <t>DXD250</t>
  </si>
  <si>
    <t>STRETCHDEC</t>
  </si>
  <si>
    <t>Stretchdec 102</t>
  </si>
  <si>
    <t>Stretchdec 127</t>
  </si>
  <si>
    <t>Stretchdec 160</t>
  </si>
  <si>
    <t>Stretchdec 203</t>
  </si>
  <si>
    <t>Stretchdec 254</t>
  </si>
  <si>
    <t>Stretchdec 315</t>
  </si>
  <si>
    <t>DXG102</t>
  </si>
  <si>
    <t>DXG127</t>
  </si>
  <si>
    <t>DXG160</t>
  </si>
  <si>
    <t>DXG254</t>
  </si>
  <si>
    <t>DXG203</t>
  </si>
  <si>
    <t>DXG315</t>
  </si>
  <si>
    <t>SONODEC 25 GLX</t>
  </si>
  <si>
    <t>Sonodec GLX 25-082</t>
  </si>
  <si>
    <t>Sonodec GLX 25-102</t>
  </si>
  <si>
    <t>Sonodec GLX 25-127</t>
  </si>
  <si>
    <t>Sonodec GLX 25-160</t>
  </si>
  <si>
    <t>Sonodec GLX 25-203</t>
  </si>
  <si>
    <t>Sonodec GLX 25-254</t>
  </si>
  <si>
    <t>Sonodec GLX 25-315</t>
  </si>
  <si>
    <t>Sonodec GLX 25-356</t>
  </si>
  <si>
    <t>Sonodec GLX 25-406</t>
  </si>
  <si>
    <t>GX082/1,0</t>
  </si>
  <si>
    <t>GX356/1,0</t>
  </si>
  <si>
    <t>GX315/1,0</t>
  </si>
  <si>
    <t>GX254/1,0</t>
  </si>
  <si>
    <t>GX203/1,0</t>
  </si>
  <si>
    <t>GX160/1,0</t>
  </si>
  <si>
    <t>GX127/1,0</t>
  </si>
  <si>
    <t>GX102/1,0</t>
  </si>
  <si>
    <t>GX406/1,0</t>
  </si>
  <si>
    <t>Гибкие алюминиевые воздуховоды для низкого и среднего давления. Полная толщина - 80 мкм. Максимальное давление 10 000 Па, Диапазон температур -30 +250 С. Упаковка - 3 м.</t>
  </si>
  <si>
    <t>Гибкие алюминиевые воздуховоды для низкого и среднего давления. Полная толщина - 95 мкм. Максимальное давление 10 000 Па, Диапазон температур -30 +250 С. Упаковка - 3 м.</t>
  </si>
  <si>
    <t>Гибкий воздуховод из поливинилхлорида на основе полиамидной ткани.  Исключительно прочен. Максимальное давление 3 000 Па, Диапазон температур -30 +70 С. Может применяться для вытяжек в зонах сварки или выхлопных газов. Упаковка - 10 м.</t>
  </si>
  <si>
    <t>REGA DVS</t>
  </si>
  <si>
    <t>REGA DVS 100</t>
  </si>
  <si>
    <t>REGA#DVS100</t>
  </si>
  <si>
    <t>REGA#DVS200</t>
  </si>
  <si>
    <t>REGA#DVS160</t>
  </si>
  <si>
    <t>REGA#DVS125</t>
  </si>
  <si>
    <t>REGA DVS 125</t>
  </si>
  <si>
    <t>REGA DVS 160</t>
  </si>
  <si>
    <t>REGA DVS 200</t>
  </si>
  <si>
    <t>REGA DVS-P</t>
  </si>
  <si>
    <t>REGA#DVS-P100</t>
  </si>
  <si>
    <t>REGA#DVS-P125</t>
  </si>
  <si>
    <t>REGA#DVS-P160</t>
  </si>
  <si>
    <t>REGA#DVS-P200</t>
  </si>
  <si>
    <t>REGA DVS-P 100</t>
  </si>
  <si>
    <t>REGA DVS-P 125</t>
  </si>
  <si>
    <t>REGA DVS-P 160</t>
  </si>
  <si>
    <t>REGA DVS-P 200</t>
  </si>
  <si>
    <t>DVS</t>
  </si>
  <si>
    <t>DVS100</t>
  </si>
  <si>
    <t>DVS125</t>
  </si>
  <si>
    <t>DVS160</t>
  </si>
  <si>
    <t>DVS200</t>
  </si>
  <si>
    <t>DVS 100</t>
  </si>
  <si>
    <t>DVS 125</t>
  </si>
  <si>
    <t>DVS 160</t>
  </si>
  <si>
    <t>DVS 200</t>
  </si>
  <si>
    <t>DVS-P</t>
  </si>
  <si>
    <t>DVS-P100</t>
  </si>
  <si>
    <t>DVS-P125</t>
  </si>
  <si>
    <t>DVS-P160</t>
  </si>
  <si>
    <t>DVS-P200</t>
  </si>
  <si>
    <t>DVS-P 100</t>
  </si>
  <si>
    <t>DVS-P 125</t>
  </si>
  <si>
    <t>DVS-P 160</t>
  </si>
  <si>
    <t>DVS-P 200</t>
  </si>
  <si>
    <t>DVKR 125</t>
  </si>
  <si>
    <t>DVKR 150</t>
  </si>
  <si>
    <t>DVKR 200</t>
  </si>
  <si>
    <t>DVKR200</t>
  </si>
  <si>
    <t>DVKR150</t>
  </si>
  <si>
    <t>DVKR125</t>
  </si>
  <si>
    <t>BDS</t>
  </si>
  <si>
    <t>Диффузоры</t>
  </si>
  <si>
    <t>BDS 100</t>
  </si>
  <si>
    <t>BDS 125</t>
  </si>
  <si>
    <t>BDS 160</t>
  </si>
  <si>
    <t>BDS 200</t>
  </si>
  <si>
    <t>BDS 250</t>
  </si>
  <si>
    <t>BDS 315</t>
  </si>
  <si>
    <t>BDS100</t>
  </si>
  <si>
    <t>BDS125</t>
  </si>
  <si>
    <t>BDS160</t>
  </si>
  <si>
    <t>BDS200</t>
  </si>
  <si>
    <t>BDS250</t>
  </si>
  <si>
    <t>BDS315</t>
  </si>
  <si>
    <t>REGA DRIS</t>
  </si>
  <si>
    <t>REGA DRIS 100</t>
  </si>
  <si>
    <t>REGA DRIS 125</t>
  </si>
  <si>
    <t>REGA DRIS 150</t>
  </si>
  <si>
    <t>REGA DRIS 160</t>
  </si>
  <si>
    <t>REGA DRIS 200</t>
  </si>
  <si>
    <t>REGA DRIS 250</t>
  </si>
  <si>
    <t>REGA DRIS 315</t>
  </si>
  <si>
    <t>REGA#DRIS100</t>
  </si>
  <si>
    <t>REGA#DRIS125</t>
  </si>
  <si>
    <t>REGA#DRIS150</t>
  </si>
  <si>
    <t>REGA#DRIS160</t>
  </si>
  <si>
    <t>REGA#DRIS200</t>
  </si>
  <si>
    <t>REGA#DRIS250</t>
  </si>
  <si>
    <t>REGA#DRIS315</t>
  </si>
  <si>
    <t>Аксессуары для монтажа</t>
  </si>
  <si>
    <t>MULTICLAMP</t>
  </si>
  <si>
    <t>Обратный клапан применяется в круглых воздуховодах для предотвращения обратного движения воздуха. Диапазон температур  -10 +60 С.</t>
  </si>
  <si>
    <t>Шибер ирисовый - идеальное решение для точного и быстрого замера и регулировки расхода воздуха. Диапазон температур  -10 +80 С. (Германия)</t>
  </si>
  <si>
    <t>QIPCLAMP</t>
  </si>
  <si>
    <t>MULTIBAND</t>
  </si>
  <si>
    <t>Лента для металлических хомутов (MULTIBAND), 9 мм* 30 м, нержавеющая сталь</t>
  </si>
  <si>
    <t xml:space="preserve">Зажим для ленты (MULTIBAND), укрепленная оцинкованная сталь </t>
  </si>
  <si>
    <t>QIPBAND</t>
  </si>
  <si>
    <t>SBR</t>
  </si>
  <si>
    <t>SBR0080</t>
  </si>
  <si>
    <t>SBR0100</t>
  </si>
  <si>
    <t>SBR0125</t>
  </si>
  <si>
    <t>SBR0140</t>
  </si>
  <si>
    <t>SBR0150</t>
  </si>
  <si>
    <t>SBR0160</t>
  </si>
  <si>
    <t>SBR0180</t>
  </si>
  <si>
    <t>SBR0200</t>
  </si>
  <si>
    <t>SBR0225</t>
  </si>
  <si>
    <t>SBR0250</t>
  </si>
  <si>
    <t>SBR0280</t>
  </si>
  <si>
    <t>SBR0300</t>
  </si>
  <si>
    <t>SBR0315</t>
  </si>
  <si>
    <t>SBR0355</t>
  </si>
  <si>
    <t>SBR0400</t>
  </si>
  <si>
    <t>SBR0450</t>
  </si>
  <si>
    <t>SBR0500</t>
  </si>
  <si>
    <t>SBR0560</t>
  </si>
  <si>
    <t>SBR0600</t>
  </si>
  <si>
    <t>SBR0630</t>
  </si>
  <si>
    <t>SBR0710</t>
  </si>
  <si>
    <t>SBR0800</t>
  </si>
  <si>
    <t>SBR0900</t>
  </si>
  <si>
    <t>SBR1000</t>
  </si>
  <si>
    <t>Хомуты для круглых воздуховодов c внутренняя прокладка из синтетическая резина. Лента - оцинкованная сталь, гайка -оцинкованная сталь, M8 + M10</t>
  </si>
  <si>
    <t>SBR 100</t>
  </si>
  <si>
    <t>SBR 125</t>
  </si>
  <si>
    <t>SBR 140</t>
  </si>
  <si>
    <t>SBR 150</t>
  </si>
  <si>
    <t>SBR 160</t>
  </si>
  <si>
    <t>SBR 180</t>
  </si>
  <si>
    <t>SBR 200</t>
  </si>
  <si>
    <t>SBR 225</t>
  </si>
  <si>
    <t>SBR 250</t>
  </si>
  <si>
    <t>SBR 280</t>
  </si>
  <si>
    <t>SBR 300</t>
  </si>
  <si>
    <t>SBR 315</t>
  </si>
  <si>
    <t>SBR 355</t>
  </si>
  <si>
    <t>SBR 400</t>
  </si>
  <si>
    <t>SBR 450</t>
  </si>
  <si>
    <t>SBR 500</t>
  </si>
  <si>
    <t>SBR 560</t>
  </si>
  <si>
    <t>SBR 600</t>
  </si>
  <si>
    <t>SBR 630</t>
  </si>
  <si>
    <t>SBR 710</t>
  </si>
  <si>
    <t>SBR 800</t>
  </si>
  <si>
    <t>SBR 900</t>
  </si>
  <si>
    <t>SBR 1000</t>
  </si>
  <si>
    <t>DEC CONNECTOR</t>
  </si>
  <si>
    <t>HCV 35060</t>
  </si>
  <si>
    <t>HCV 45060</t>
  </si>
  <si>
    <t>HCV 45075</t>
  </si>
  <si>
    <t>HCV 70100</t>
  </si>
  <si>
    <t>HCV35060/25</t>
  </si>
  <si>
    <t>HCV45060/25</t>
  </si>
  <si>
    <t>HCV45075/25</t>
  </si>
  <si>
    <t>HCV70100/25</t>
  </si>
  <si>
    <t>PZ 017 S</t>
  </si>
  <si>
    <t>Лента для подвеса гальванизированная, 17 мм х 10 м</t>
  </si>
  <si>
    <t>Монтажная лента PZ</t>
  </si>
  <si>
    <t>Нейлоновый быстрозажимной хомут, 9 мм х 780мм (0- 229 мм). Диапазон температур -40 °C до 85 °C</t>
  </si>
  <si>
    <t>QCLX780</t>
  </si>
  <si>
    <t>QCLX 780</t>
  </si>
  <si>
    <t>Герметизация</t>
  </si>
  <si>
    <t>ALU</t>
  </si>
  <si>
    <t>ALU 050</t>
  </si>
  <si>
    <t>ALU 075</t>
  </si>
  <si>
    <t>ALU 100</t>
  </si>
  <si>
    <t>ALU050</t>
  </si>
  <si>
    <t>ALU075</t>
  </si>
  <si>
    <t>ALU100</t>
  </si>
  <si>
    <t>ALU R</t>
  </si>
  <si>
    <t>ALU050R</t>
  </si>
  <si>
    <t>ALU075R</t>
  </si>
  <si>
    <t>DUCT</t>
  </si>
  <si>
    <t>DUCT050</t>
  </si>
  <si>
    <t>DUCT075</t>
  </si>
  <si>
    <t>DUCT 050</t>
  </si>
  <si>
    <t>DUCT 075</t>
  </si>
  <si>
    <t>ALU 050R</t>
  </si>
  <si>
    <t>ALU 075R</t>
  </si>
  <si>
    <t>PVC 050</t>
  </si>
  <si>
    <t>PVC050</t>
  </si>
  <si>
    <t>PVC050/20</t>
  </si>
  <si>
    <t>PVC050/33</t>
  </si>
  <si>
    <t>PVC 050, 10м</t>
  </si>
  <si>
    <t>PVC 050, 20м</t>
  </si>
  <si>
    <t>PVC 050, 33м</t>
  </si>
  <si>
    <t>GT</t>
  </si>
  <si>
    <t>Уплотнительная лента изготавливается из вспененного пенополиэтилена. Толщина от 3 до 6 мм, ширина от 9 до 50 мм, длина 10, 20 м. Диапазон температур  -30 +80 С, работать с лентой можно при температуре +5 +40 С</t>
  </si>
  <si>
    <t>Лента состоит из слоя сополимера, на внутреннюю поверхность которого нанесено герметизирующее покрытие из синтетической резины.  Толщина 190 мкм, длина 10, 20, 33 м. Диапазон температур  -18 +40 С, работать с лентой можно при температуре -18 +40С</t>
  </si>
  <si>
    <t>Лента тканевого типа, изготавливается из полиэтилена c пластиком и покрыта натуральным каучуком. Толщина 310 мкм, длина 50 м. Диапазон температур  -20 +75 С, работать с лентой можно при температуре -5 +30 С</t>
  </si>
  <si>
    <t>Клеящая лента на основе алюминия, армированная стекловолокном. Толщина 30 мкм, длина 45 м. Диапазон температур  -10 +90 С, работать с лентой можно при температуре -5 +40 С</t>
  </si>
  <si>
    <t>Клеящая лента на основе алюминия. Толщина 30 мкм, длина 45 м. Диапазон температур  -10 +90 С, работать с лентой можно при температуре -5 +40 С</t>
  </si>
  <si>
    <t>GT 3/15, 20м</t>
  </si>
  <si>
    <t>GT 4/12, 20м</t>
  </si>
  <si>
    <t>GT 4/15, 20м</t>
  </si>
  <si>
    <t>GT 4/25, 20м</t>
  </si>
  <si>
    <t>GT 4/50, 20м</t>
  </si>
  <si>
    <t>GT 5/15, 10м</t>
  </si>
  <si>
    <t>GT 5/20, 10м</t>
  </si>
  <si>
    <t>ASB</t>
  </si>
  <si>
    <t>ASB 7050</t>
  </si>
  <si>
    <t>PSB</t>
  </si>
  <si>
    <t>ASB7050</t>
  </si>
  <si>
    <t xml:space="preserve">PSB3050 </t>
  </si>
  <si>
    <t>PSB 3050</t>
  </si>
  <si>
    <t xml:space="preserve">Лента самовулканизирующаяся для внутренних работ. Состоит из полиэтиленовой фольги, высокоэластичного слоя клеящей смеси и подложки из бумаги. Длина 15 м, максимальное давление 4 000 Па (при 20 С), диапазон температур  -20 +60 С.                                                     </t>
  </si>
  <si>
    <t xml:space="preserve"> на гибкие гофрированные воздуховоды, диффузоры</t>
  </si>
  <si>
    <t>Воздушные клапаны</t>
  </si>
  <si>
    <t>Лента самовулканизирующаяся влагостойкая, имеет защиту от ультрафиолетовых лучей. Состоит из алюминиевой фольги, бутиловой резины и подложки из полиэтилена. Длина 15 м, максимальное давление 2 000 Па, диапазон температур  -20 +80 С</t>
  </si>
  <si>
    <t>Гибкий соединитель. Металлическая полоса из оцинкованной стали, внутренняя полоса (V = винил, P = полиуретан, S = силикон, N = неопрен), длина 25 м.</t>
  </si>
  <si>
    <t xml:space="preserve"> Гибкий шумоглушитель. Максимальное давление 2 500 Па, Диапазон температур -30 +140 С. Упаковка - 1 м.</t>
  </si>
  <si>
    <t>Гибкий воздуховод из поливинилхлорида. Максимальное давление 3 000 Па, Диапазон температур -20 +80 С.     Упаковка - 15 м.</t>
  </si>
  <si>
    <t>Гибкий многослойный алюминиевый воздуховод. Максимальное давление 2 500 Па, диапазон температур -30 +140 С, 36 мм между витками. Упаковка - 10 м.</t>
  </si>
  <si>
    <t>DVSQ-P</t>
  </si>
  <si>
    <t>DVSQ</t>
  </si>
  <si>
    <t>DVSQ100</t>
  </si>
  <si>
    <t>DVSQ125</t>
  </si>
  <si>
    <t>DVSQ 100</t>
  </si>
  <si>
    <t>DVSQ 125</t>
  </si>
  <si>
    <t xml:space="preserve"> Диффузор вытяжной металлический с монтажным кольцом  0,8 мм (Нидерланды)</t>
  </si>
  <si>
    <t>Диффузор приточно-вытяжной пластиковый с монтажным кольцом. Цвет белый (RAL 9010)</t>
  </si>
  <si>
    <t xml:space="preserve"> Диффузор приточный металлический с монтажным кольцом 0,8 мм (Нидерланды). Цвет белый (RAL 9010)</t>
  </si>
  <si>
    <t xml:space="preserve"> Диффузор приточный металлический с монтажным кольцом REGA 0,6 мм (Германия). Цвет белый (RAL 9010)</t>
  </si>
  <si>
    <t xml:space="preserve"> Диффузор вытяжной металлический с монтажным кольцом REGA 0,6 мм (Германия). Цвет белый (RAL 9010)</t>
  </si>
  <si>
    <t>DVSQ-P100</t>
  </si>
  <si>
    <t>DVSQ-P125</t>
  </si>
  <si>
    <t>DVSQ-P 100</t>
  </si>
  <si>
    <t>DVSQ-P 125</t>
  </si>
  <si>
    <t>DVSR100</t>
  </si>
  <si>
    <t>DVSR 100</t>
  </si>
  <si>
    <t>DVSR125</t>
  </si>
  <si>
    <t>DVSR 125</t>
  </si>
  <si>
    <t>DVSR160</t>
  </si>
  <si>
    <t>DVSR200</t>
  </si>
  <si>
    <t>DVSR 160</t>
  </si>
  <si>
    <t>DVSR 200</t>
  </si>
  <si>
    <t>DVSER</t>
  </si>
  <si>
    <t>DVSR</t>
  </si>
  <si>
    <t>DVSER100</t>
  </si>
  <si>
    <t>DVSER125</t>
  </si>
  <si>
    <t>DVSER160</t>
  </si>
  <si>
    <t>DVSER200</t>
  </si>
  <si>
    <t>DVSER 100</t>
  </si>
  <si>
    <t>DVSER 125</t>
  </si>
  <si>
    <t>DVSER 160</t>
  </si>
  <si>
    <t>DVSER 200</t>
  </si>
  <si>
    <t>Диффузор вытяжной металлический, порошковое покрытие, без монтажного кольца. Цвет белый (RAL 9010)</t>
  </si>
  <si>
    <t>Диффузор приточный металлический, порошковое покрытие, без монтажного кольца. Цвет белый (RAL 9010)</t>
  </si>
  <si>
    <t>DVIR100</t>
  </si>
  <si>
    <t>DVIR125</t>
  </si>
  <si>
    <t>DVIR 100</t>
  </si>
  <si>
    <t>DVIR 125</t>
  </si>
  <si>
    <t>Диффузор приточный металлический,  нержавеющая сталь, без монтажного кольца.</t>
  </si>
  <si>
    <t>DVIR</t>
  </si>
  <si>
    <t>DVS-F100</t>
  </si>
  <si>
    <t>DVS-F125</t>
  </si>
  <si>
    <t>DVS-F160</t>
  </si>
  <si>
    <t>DVS-F200</t>
  </si>
  <si>
    <t>DVS-F 100</t>
  </si>
  <si>
    <t>DVS-F 125</t>
  </si>
  <si>
    <t>DVS-F 160</t>
  </si>
  <si>
    <t>DVS-F 200</t>
  </si>
  <si>
    <t>Металлическое монтажное кольцо, высота 50 мм</t>
  </si>
  <si>
    <t>DVS-F</t>
  </si>
  <si>
    <t>DVI125</t>
  </si>
  <si>
    <t>DVI100</t>
  </si>
  <si>
    <t>DVI160</t>
  </si>
  <si>
    <t>DVI200</t>
  </si>
  <si>
    <t>Диффузор приточно-вытяжной металлический,  нержавеющая сталь, с монтажным кольцом.</t>
  </si>
  <si>
    <t>DVI 125</t>
  </si>
  <si>
    <t>DVI 160</t>
  </si>
  <si>
    <t>DVI 200</t>
  </si>
  <si>
    <t>DVI</t>
  </si>
  <si>
    <t>DVKR</t>
  </si>
  <si>
    <t>Ваша скидка</t>
  </si>
  <si>
    <t xml:space="preserve">Общий объем, м3 </t>
  </si>
  <si>
    <t xml:space="preserve">Объем, м3 </t>
  </si>
  <si>
    <t xml:space="preserve">Общий вес, кг  </t>
  </si>
  <si>
    <t>Вес,кг</t>
  </si>
  <si>
    <t>Количество, шт.</t>
  </si>
  <si>
    <t>ALUDEC AA3</t>
  </si>
  <si>
    <t xml:space="preserve"> GREYDEC 100</t>
  </si>
  <si>
    <t xml:space="preserve">Синтетические воздуховоды </t>
  </si>
  <si>
    <t>Общий Вес, кг</t>
  </si>
  <si>
    <t>Общий объем, м3</t>
  </si>
  <si>
    <t>Объем, м3</t>
  </si>
  <si>
    <t>Semidec 315</t>
  </si>
  <si>
    <t>DVI 100</t>
  </si>
  <si>
    <t>SONODEC 25 TRD</t>
  </si>
  <si>
    <t>DST082/1,0</t>
  </si>
  <si>
    <t>Sonodec TRD 25-082</t>
  </si>
  <si>
    <t>DST102/1,0</t>
  </si>
  <si>
    <t>Sonodec TRD 25-102</t>
  </si>
  <si>
    <t>DST127/1,0</t>
  </si>
  <si>
    <t>Sonodec TRD 25-127</t>
  </si>
  <si>
    <t>DST160/1,0</t>
  </si>
  <si>
    <t>Sonodec TRD 25-160</t>
  </si>
  <si>
    <t>DST203/1,0</t>
  </si>
  <si>
    <t>Sonodec TRD 25-203</t>
  </si>
  <si>
    <t>DST254/1,0</t>
  </si>
  <si>
    <t>Sonodec TRD 25-254</t>
  </si>
  <si>
    <t>DST315/1,0</t>
  </si>
  <si>
    <t>Sonodec TRD 25-315</t>
  </si>
  <si>
    <t>DST356/1,0</t>
  </si>
  <si>
    <t>Sonodec TRD 25-356</t>
  </si>
  <si>
    <t>DST406/1,0</t>
  </si>
  <si>
    <t>Sonodec TRD 25-406</t>
  </si>
  <si>
    <t>DVSR 080</t>
  </si>
  <si>
    <t>DVSER 080</t>
  </si>
  <si>
    <t>DHB254</t>
  </si>
  <si>
    <t>Isosleeve 25-254</t>
  </si>
  <si>
    <t>DVSR080</t>
  </si>
  <si>
    <t>DVSER080</t>
  </si>
  <si>
    <t>SBR 080</t>
  </si>
  <si>
    <t>RONDO</t>
  </si>
  <si>
    <t>DXD315</t>
  </si>
  <si>
    <t>PZ017S</t>
  </si>
  <si>
    <t>RONDO-100-R9002</t>
  </si>
  <si>
    <t>RONDO-125-R9002</t>
  </si>
  <si>
    <t>RONDO-160-R9002</t>
  </si>
  <si>
    <t>RONDO-200-R9002</t>
  </si>
  <si>
    <t>Диффузор приточный пластиковый с возможностью направления воздушного потока. Цвет белый (RAL 9002)</t>
  </si>
  <si>
    <t xml:space="preserve">Розничная цена </t>
  </si>
  <si>
    <t>Цена со скидкой</t>
  </si>
  <si>
    <t xml:space="preserve">Цена со скидкой </t>
  </si>
  <si>
    <t>Розничная цена</t>
  </si>
  <si>
    <t>Сумма заказа, руб</t>
  </si>
  <si>
    <t>и компоненты для монтажа систем вентиляции DEC International (Dutch Environment Corporation, Нидерланды)</t>
  </si>
  <si>
    <t>Гибкий многослойный алюминиевый воздуховод. Максимальное давление 2 500 Па, диапазон температур -30 +140 С, 18 мм между витками. Упаковка - 10 м.</t>
  </si>
  <si>
    <t>DC20G102</t>
  </si>
  <si>
    <t>COMBIDEC 2000-102</t>
  </si>
  <si>
    <t xml:space="preserve">DC20G127 </t>
  </si>
  <si>
    <t>COMBIDEC 2000-127</t>
  </si>
  <si>
    <t>DC20G160</t>
  </si>
  <si>
    <t>COMBIDEC 2000-160</t>
  </si>
  <si>
    <t>DC20G203</t>
  </si>
  <si>
    <t>COMBIDEC 2000-203</t>
  </si>
  <si>
    <t>DC20G254</t>
  </si>
  <si>
    <t>COMBIDEC 2000-254</t>
  </si>
  <si>
    <t>DC20G315</t>
  </si>
  <si>
    <t>COMBIDEC 2000-315</t>
  </si>
  <si>
    <t>Сумма  заказа  ₽:</t>
  </si>
  <si>
    <t>Сумма  заказа ₽:</t>
  </si>
  <si>
    <t>GT3/15NB20</t>
  </si>
  <si>
    <t>GT4/12NB20</t>
  </si>
  <si>
    <t>GT4/15NB20</t>
  </si>
  <si>
    <t>GT4/25NB20</t>
  </si>
  <si>
    <t>GT4/50NB20</t>
  </si>
  <si>
    <t>GT5/15NB</t>
  </si>
  <si>
    <t>GT5/20NB</t>
  </si>
  <si>
    <t>DVS-F080</t>
  </si>
  <si>
    <t>DVS-F 080</t>
  </si>
  <si>
    <t>COMBIDEC 2000</t>
  </si>
  <si>
    <t>ALUDEC A23</t>
  </si>
  <si>
    <t>A23102</t>
  </si>
  <si>
    <t>Aludec A23102</t>
  </si>
  <si>
    <t>Aludec A23127</t>
  </si>
  <si>
    <t>Aludec A23152</t>
  </si>
  <si>
    <t>Aludec A23160</t>
  </si>
  <si>
    <t>Aludec A23203</t>
  </si>
  <si>
    <t>Aludec A23254</t>
  </si>
  <si>
    <t>Aludec A23315</t>
  </si>
  <si>
    <t>A23127</t>
  </si>
  <si>
    <t>A23152</t>
  </si>
  <si>
    <t>A23160</t>
  </si>
  <si>
    <t>A23203</t>
  </si>
  <si>
    <t>A23254</t>
  </si>
  <si>
    <t>A23315</t>
  </si>
  <si>
    <t>Гибкий многослойный алюминиевый воздуховод c сополимером. Максимальное давление 3 000 Па, диапазон температур -30 +140 С,</t>
  </si>
  <si>
    <t>36 мм между витками. Упаковка - 10 м.</t>
  </si>
  <si>
    <t>Упаковка - 10 м.</t>
  </si>
  <si>
    <t>P102/10</t>
  </si>
  <si>
    <t>P127/10</t>
  </si>
  <si>
    <t>P152/10</t>
  </si>
  <si>
    <t>P160/10</t>
  </si>
  <si>
    <t>P203/10</t>
  </si>
  <si>
    <t>P254/10</t>
  </si>
  <si>
    <t>P315/10</t>
  </si>
  <si>
    <t>P082/10</t>
  </si>
  <si>
    <t>По запросу</t>
  </si>
  <si>
    <t>Прайс-лист DEC Int. (Нидерланды), действителен с 01.08.2026</t>
  </si>
  <si>
    <t>info@5season.ru</t>
  </si>
  <si>
    <t>(действителен с 01.08.2026)</t>
  </si>
  <si>
    <t>www.5season.ru</t>
  </si>
  <si>
    <t>www.dec-products.ru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</si>
</sst>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\ &quot;₽&quot;"/>
  </numFmts>
  <fonts count="38" x14ac:knownFonts="1">
    <font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6"/>
      <color theme="10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sz val="16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u/>
      <sz val="14"/>
      <color theme="10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name val="Arial"/>
      <family val="2"/>
      <charset val="204"/>
    </font>
    <font>
      <sz val="14"/>
      <color theme="1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4"/>
      <color theme="10"/>
      <name val="Calibri"/>
      <family val="2"/>
      <charset val="204"/>
    </font>
    <font>
      <b/>
      <u/>
      <sz val="14"/>
      <color theme="10"/>
      <name val="Calibri"/>
      <family val="2"/>
      <charset val="204"/>
      <scheme val="minor"/>
    </font>
    <font>
      <u/>
      <sz val="16"/>
      <color theme="1"/>
      <name val="Calibri"/>
      <family val="2"/>
      <charset val="204"/>
      <scheme val="minor"/>
    </font>
    <font>
      <u/>
      <sz val="14"/>
      <color theme="1"/>
      <name val="Calibri"/>
      <family val="2"/>
      <charset val="204"/>
      <scheme val="minor"/>
    </font>
    <font>
      <u/>
      <sz val="16"/>
      <name val="Calibri"/>
      <family val="2"/>
      <charset val="204"/>
      <scheme val="minor"/>
    </font>
    <font>
      <b/>
      <u/>
      <sz val="14"/>
      <color theme="10"/>
      <name val="Calibri"/>
      <family val="2"/>
      <charset val="204"/>
    </font>
    <font>
      <b/>
      <sz val="14"/>
      <name val="Calibri"/>
      <family val="2"/>
      <charset val="204"/>
    </font>
    <font>
      <b/>
      <sz val="14"/>
      <color theme="10"/>
      <name val="Calibri"/>
      <family val="2"/>
      <charset val="204"/>
    </font>
    <font>
      <b/>
      <sz val="14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  <font>
      <b/>
      <sz val="13"/>
      <color rgb="FFFF0000"/>
      <name val="Calibri"/>
      <family val="2"/>
      <charset val="204"/>
      <scheme val="minor"/>
    </font>
    <font>
      <b/>
      <sz val="13"/>
      <color rgb="FFFF0000"/>
      <name val="Times New Roman"/>
      <family val="1"/>
      <charset val="204"/>
    </font>
    <font>
      <u/>
      <sz val="18"/>
      <color theme="10"/>
      <name val="Calibri"/>
      <family val="2"/>
      <charset val="204"/>
    </font>
    <font>
      <sz val="18"/>
      <color theme="1"/>
      <name val="Calibri"/>
      <family val="2"/>
      <charset val="204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</cellStyleXfs>
  <cellXfs count="347">
    <xf numFmtId="0" fontId="0" fillId="0" borderId="0" xfId="0"/>
    <xf numFmtId="0" fontId="4" fillId="0" borderId="0" xfId="0" applyFont="1"/>
    <xf numFmtId="0" fontId="3" fillId="0" borderId="0" xfId="0" applyFont="1" applyFill="1"/>
    <xf numFmtId="0" fontId="0" fillId="0" borderId="0" xfId="0" applyFill="1"/>
    <xf numFmtId="0" fontId="0" fillId="0" borderId="0" xfId="0" applyFont="1"/>
    <xf numFmtId="0" fontId="18" fillId="6" borderId="0" xfId="0" applyFont="1" applyFill="1" applyBorder="1" applyAlignment="1">
      <alignment horizontal="center"/>
    </xf>
    <xf numFmtId="0" fontId="18" fillId="5" borderId="0" xfId="0" applyFont="1" applyFill="1" applyBorder="1" applyAlignment="1">
      <alignment horizontal="center"/>
    </xf>
    <xf numFmtId="0" fontId="10" fillId="0" borderId="0" xfId="0" applyFont="1" applyFill="1" applyBorder="1"/>
    <xf numFmtId="0" fontId="18" fillId="4" borderId="0" xfId="0" applyFont="1" applyFill="1" applyBorder="1" applyAlignment="1">
      <alignment horizontal="center"/>
    </xf>
    <xf numFmtId="0" fontId="17" fillId="5" borderId="0" xfId="0" applyFont="1" applyFill="1" applyBorder="1" applyAlignment="1">
      <alignment horizontal="center"/>
    </xf>
    <xf numFmtId="0" fontId="18" fillId="5" borderId="0" xfId="0" applyFont="1" applyFill="1" applyBorder="1" applyAlignment="1"/>
    <xf numFmtId="0" fontId="18" fillId="2" borderId="0" xfId="0" applyFont="1" applyFill="1" applyBorder="1" applyAlignment="1">
      <alignment horizontal="center"/>
    </xf>
    <xf numFmtId="0" fontId="18" fillId="2" borderId="0" xfId="0" applyFont="1" applyFill="1" applyBorder="1" applyAlignment="1"/>
    <xf numFmtId="0" fontId="0" fillId="5" borderId="0" xfId="0" applyFill="1" applyBorder="1"/>
    <xf numFmtId="0" fontId="15" fillId="6" borderId="0" xfId="0" applyFont="1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0" fillId="6" borderId="0" xfId="0" applyFill="1" applyBorder="1" applyAlignment="1">
      <alignment horizontal="center"/>
    </xf>
    <xf numFmtId="0" fontId="18" fillId="6" borderId="2" xfId="0" applyFont="1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5" borderId="0" xfId="0" applyFont="1" applyFill="1" applyBorder="1"/>
    <xf numFmtId="0" fontId="15" fillId="7" borderId="0" xfId="0" applyFont="1" applyFill="1" applyBorder="1" applyAlignment="1">
      <alignment horizontal="center"/>
    </xf>
    <xf numFmtId="0" fontId="17" fillId="7" borderId="0" xfId="0" applyFont="1" applyFill="1" applyBorder="1" applyAlignment="1">
      <alignment horizontal="center"/>
    </xf>
    <xf numFmtId="0" fontId="17" fillId="5" borderId="2" xfId="0" applyFont="1" applyFill="1" applyBorder="1" applyAlignment="1">
      <alignment horizontal="center"/>
    </xf>
    <xf numFmtId="0" fontId="0" fillId="5" borderId="2" xfId="0" applyFill="1" applyBorder="1"/>
    <xf numFmtId="0" fontId="15" fillId="4" borderId="0" xfId="0" applyFont="1" applyFill="1" applyBorder="1" applyAlignment="1">
      <alignment horizontal="center"/>
    </xf>
    <xf numFmtId="0" fontId="18" fillId="4" borderId="2" xfId="0" applyFont="1" applyFill="1" applyBorder="1" applyAlignment="1">
      <alignment horizontal="center"/>
    </xf>
    <xf numFmtId="0" fontId="18" fillId="5" borderId="2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/>
    </xf>
    <xf numFmtId="0" fontId="15" fillId="5" borderId="0" xfId="0" applyFont="1" applyFill="1" applyBorder="1" applyAlignment="1">
      <alignment horizontal="center"/>
    </xf>
    <xf numFmtId="0" fontId="17" fillId="3" borderId="0" xfId="0" applyFont="1" applyFill="1" applyBorder="1" applyAlignment="1">
      <alignment horizontal="center"/>
    </xf>
    <xf numFmtId="0" fontId="17" fillId="3" borderId="2" xfId="0" applyFont="1" applyFill="1" applyBorder="1" applyAlignment="1">
      <alignment horizontal="center"/>
    </xf>
    <xf numFmtId="0" fontId="15" fillId="2" borderId="0" xfId="0" applyFont="1" applyFill="1" applyBorder="1" applyAlignment="1">
      <alignment horizontal="center"/>
    </xf>
    <xf numFmtId="0" fontId="18" fillId="5" borderId="2" xfId="0" applyFont="1" applyFill="1" applyBorder="1" applyAlignment="1"/>
    <xf numFmtId="0" fontId="9" fillId="5" borderId="0" xfId="0" applyFont="1" applyFill="1" applyBorder="1" applyAlignment="1"/>
    <xf numFmtId="0" fontId="0" fillId="5" borderId="0" xfId="0" applyFont="1" applyFill="1" applyBorder="1" applyAlignment="1"/>
    <xf numFmtId="0" fontId="18" fillId="7" borderId="0" xfId="0" applyFont="1" applyFill="1" applyBorder="1" applyAlignment="1">
      <alignment horizontal="center"/>
    </xf>
    <xf numFmtId="0" fontId="18" fillId="7" borderId="2" xfId="0" applyFont="1" applyFill="1" applyBorder="1" applyAlignment="1">
      <alignment horizontal="center"/>
    </xf>
    <xf numFmtId="0" fontId="17" fillId="5" borderId="0" xfId="0" applyFont="1" applyFill="1" applyBorder="1" applyAlignment="1">
      <alignment horizontal="center" vertical="center"/>
    </xf>
    <xf numFmtId="0" fontId="17" fillId="4" borderId="0" xfId="0" applyFont="1" applyFill="1" applyBorder="1" applyAlignment="1">
      <alignment horizontal="center" vertical="center"/>
    </xf>
    <xf numFmtId="0" fontId="0" fillId="4" borderId="0" xfId="0" applyFont="1" applyFill="1" applyBorder="1"/>
    <xf numFmtId="0" fontId="17" fillId="4" borderId="2" xfId="0" applyFont="1" applyFill="1" applyBorder="1" applyAlignment="1">
      <alignment horizontal="center" vertical="center"/>
    </xf>
    <xf numFmtId="0" fontId="0" fillId="4" borderId="2" xfId="0" applyFont="1" applyFill="1" applyBorder="1"/>
    <xf numFmtId="0" fontId="15" fillId="4" borderId="0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5" fillId="3" borderId="0" xfId="0" applyFont="1" applyFill="1" applyBorder="1" applyAlignment="1">
      <alignment horizontal="center" vertical="center"/>
    </xf>
    <xf numFmtId="0" fontId="18" fillId="5" borderId="0" xfId="0" applyFont="1" applyFill="1" applyBorder="1" applyAlignment="1">
      <alignment horizontal="center" vertical="center"/>
    </xf>
    <xf numFmtId="0" fontId="18" fillId="3" borderId="0" xfId="0" applyFont="1" applyFill="1" applyBorder="1" applyAlignment="1">
      <alignment horizontal="center" vertical="center"/>
    </xf>
    <xf numFmtId="0" fontId="17" fillId="3" borderId="0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17" fillId="3" borderId="2" xfId="0" applyFont="1" applyFill="1" applyBorder="1" applyAlignment="1">
      <alignment horizontal="center" vertical="center"/>
    </xf>
    <xf numFmtId="0" fontId="0" fillId="5" borderId="0" xfId="0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18" fillId="5" borderId="2" xfId="0" applyFont="1" applyFill="1" applyBorder="1" applyAlignment="1">
      <alignment horizontal="center" vertical="center"/>
    </xf>
    <xf numFmtId="0" fontId="17" fillId="5" borderId="2" xfId="0" applyFont="1" applyFill="1" applyBorder="1"/>
    <xf numFmtId="0" fontId="15" fillId="5" borderId="2" xfId="0" applyFont="1" applyFill="1" applyBorder="1" applyAlignment="1">
      <alignment horizontal="center" vertical="center"/>
    </xf>
    <xf numFmtId="0" fontId="17" fillId="2" borderId="0" xfId="0" applyFont="1" applyFill="1" applyBorder="1" applyAlignment="1">
      <alignment horizontal="center"/>
    </xf>
    <xf numFmtId="0" fontId="17" fillId="2" borderId="2" xfId="0" applyFont="1" applyFill="1" applyBorder="1" applyAlignment="1">
      <alignment horizontal="center"/>
    </xf>
    <xf numFmtId="0" fontId="18" fillId="2" borderId="0" xfId="0" applyFont="1" applyFill="1" applyBorder="1" applyAlignment="1">
      <alignment horizontal="center" vertical="center"/>
    </xf>
    <xf numFmtId="0" fontId="12" fillId="7" borderId="0" xfId="0" applyFont="1" applyFill="1" applyBorder="1"/>
    <xf numFmtId="0" fontId="12" fillId="5" borderId="0" xfId="0" applyFont="1" applyFill="1" applyBorder="1"/>
    <xf numFmtId="0" fontId="12" fillId="6" borderId="0" xfId="0" applyFont="1" applyFill="1" applyBorder="1"/>
    <xf numFmtId="0" fontId="12" fillId="4" borderId="0" xfId="0" applyFont="1" applyFill="1" applyBorder="1"/>
    <xf numFmtId="0" fontId="12" fillId="3" borderId="0" xfId="0" applyFont="1" applyFill="1" applyBorder="1"/>
    <xf numFmtId="0" fontId="12" fillId="2" borderId="0" xfId="0" applyFont="1" applyFill="1" applyBorder="1"/>
    <xf numFmtId="0" fontId="13" fillId="3" borderId="0" xfId="0" applyFont="1" applyFill="1" applyBorder="1"/>
    <xf numFmtId="0" fontId="13" fillId="5" borderId="0" xfId="0" applyFont="1" applyFill="1" applyBorder="1"/>
    <xf numFmtId="0" fontId="13" fillId="2" borderId="0" xfId="0" applyFont="1" applyFill="1" applyBorder="1"/>
    <xf numFmtId="2" fontId="15" fillId="5" borderId="0" xfId="0" applyNumberFormat="1" applyFont="1" applyFill="1" applyBorder="1" applyAlignment="1">
      <alignment horizontal="center"/>
    </xf>
    <xf numFmtId="2" fontId="15" fillId="7" borderId="0" xfId="0" applyNumberFormat="1" applyFont="1" applyFill="1" applyBorder="1" applyAlignment="1">
      <alignment horizontal="center"/>
    </xf>
    <xf numFmtId="2" fontId="15" fillId="5" borderId="2" xfId="0" applyNumberFormat="1" applyFont="1" applyFill="1" applyBorder="1" applyAlignment="1">
      <alignment horizontal="center"/>
    </xf>
    <xf numFmtId="2" fontId="19" fillId="5" borderId="0" xfId="0" applyNumberFormat="1" applyFont="1" applyFill="1" applyBorder="1" applyAlignment="1">
      <alignment horizontal="center"/>
    </xf>
    <xf numFmtId="0" fontId="17" fillId="6" borderId="0" xfId="0" applyFont="1" applyFill="1" applyBorder="1" applyAlignment="1">
      <alignment horizontal="center"/>
    </xf>
    <xf numFmtId="0" fontId="17" fillId="6" borderId="2" xfId="0" applyFont="1" applyFill="1" applyBorder="1" applyAlignment="1">
      <alignment horizontal="center"/>
    </xf>
    <xf numFmtId="0" fontId="17" fillId="4" borderId="0" xfId="0" applyFont="1" applyFill="1" applyBorder="1" applyAlignment="1">
      <alignment horizontal="center"/>
    </xf>
    <xf numFmtId="2" fontId="19" fillId="4" borderId="0" xfId="0" applyNumberFormat="1" applyFont="1" applyFill="1" applyBorder="1" applyAlignment="1">
      <alignment horizontal="center"/>
    </xf>
    <xf numFmtId="2" fontId="15" fillId="3" borderId="0" xfId="0" applyNumberFormat="1" applyFont="1" applyFill="1" applyBorder="1" applyAlignment="1">
      <alignment horizontal="center"/>
    </xf>
    <xf numFmtId="2" fontId="19" fillId="2" borderId="0" xfId="0" applyNumberFormat="1" applyFont="1" applyFill="1" applyBorder="1" applyAlignment="1">
      <alignment horizontal="center"/>
    </xf>
    <xf numFmtId="2" fontId="15" fillId="3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/>
    <xf numFmtId="0" fontId="24" fillId="5" borderId="0" xfId="1" applyFont="1" applyFill="1" applyBorder="1" applyAlignment="1" applyProtection="1">
      <alignment horizontal="left"/>
    </xf>
    <xf numFmtId="0" fontId="25" fillId="5" borderId="0" xfId="0" applyFont="1" applyFill="1" applyBorder="1" applyAlignment="1">
      <alignment horizontal="left"/>
    </xf>
    <xf numFmtId="0" fontId="26" fillId="5" borderId="0" xfId="0" applyFont="1" applyFill="1" applyBorder="1" applyAlignment="1">
      <alignment horizontal="left"/>
    </xf>
    <xf numFmtId="0" fontId="27" fillId="5" borderId="0" xfId="0" applyFont="1" applyFill="1" applyBorder="1" applyAlignment="1">
      <alignment horizontal="left"/>
    </xf>
    <xf numFmtId="0" fontId="17" fillId="5" borderId="0" xfId="2" applyFont="1" applyFill="1" applyBorder="1" applyAlignment="1">
      <alignment horizontal="center"/>
    </xf>
    <xf numFmtId="0" fontId="17" fillId="7" borderId="0" xfId="2" applyFont="1" applyFill="1" applyBorder="1" applyAlignment="1">
      <alignment horizontal="center"/>
    </xf>
    <xf numFmtId="0" fontId="20" fillId="7" borderId="0" xfId="0" applyFont="1" applyFill="1" applyBorder="1" applyAlignment="1">
      <alignment horizontal="center"/>
    </xf>
    <xf numFmtId="0" fontId="17" fillId="7" borderId="2" xfId="0" applyFont="1" applyFill="1" applyBorder="1" applyAlignment="1">
      <alignment horizontal="center"/>
    </xf>
    <xf numFmtId="0" fontId="20" fillId="7" borderId="2" xfId="0" applyFont="1" applyFill="1" applyBorder="1" applyAlignment="1">
      <alignment horizontal="center"/>
    </xf>
    <xf numFmtId="0" fontId="20" fillId="5" borderId="0" xfId="0" applyFont="1" applyFill="1" applyBorder="1" applyAlignment="1">
      <alignment horizontal="center"/>
    </xf>
    <xf numFmtId="0" fontId="17" fillId="5" borderId="2" xfId="2" applyFont="1" applyFill="1" applyBorder="1" applyAlignment="1">
      <alignment horizontal="center"/>
    </xf>
    <xf numFmtId="0" fontId="20" fillId="5" borderId="2" xfId="0" applyFont="1" applyFill="1" applyBorder="1" applyAlignment="1">
      <alignment horizontal="center"/>
    </xf>
    <xf numFmtId="0" fontId="17" fillId="7" borderId="2" xfId="2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5" borderId="0" xfId="0" applyFill="1"/>
    <xf numFmtId="164" fontId="15" fillId="5" borderId="0" xfId="0" applyNumberFormat="1" applyFont="1" applyFill="1" applyBorder="1" applyAlignment="1">
      <alignment horizontal="center"/>
    </xf>
    <xf numFmtId="164" fontId="15" fillId="7" borderId="0" xfId="0" applyNumberFormat="1" applyFont="1" applyFill="1" applyBorder="1" applyAlignment="1">
      <alignment horizontal="center"/>
    </xf>
    <xf numFmtId="164" fontId="15" fillId="5" borderId="2" xfId="0" applyNumberFormat="1" applyFont="1" applyFill="1" applyBorder="1" applyAlignment="1">
      <alignment horizontal="center"/>
    </xf>
    <xf numFmtId="0" fontId="17" fillId="5" borderId="0" xfId="0" applyFont="1" applyFill="1" applyBorder="1" applyAlignment="1">
      <alignment vertical="center" wrapText="1"/>
    </xf>
    <xf numFmtId="1" fontId="15" fillId="5" borderId="0" xfId="0" applyNumberFormat="1" applyFont="1" applyFill="1" applyBorder="1" applyAlignment="1">
      <alignment horizontal="center"/>
    </xf>
    <xf numFmtId="0" fontId="15" fillId="7" borderId="0" xfId="0" applyNumberFormat="1" applyFont="1" applyFill="1" applyBorder="1" applyAlignment="1">
      <alignment horizontal="center"/>
    </xf>
    <xf numFmtId="0" fontId="32" fillId="0" borderId="0" xfId="0" applyFont="1" applyFill="1" applyBorder="1" applyAlignment="1">
      <alignment horizontal="left"/>
    </xf>
    <xf numFmtId="9" fontId="33" fillId="0" borderId="0" xfId="0" applyNumberFormat="1" applyFont="1" applyFill="1" applyBorder="1" applyAlignment="1">
      <alignment horizontal="center"/>
    </xf>
    <xf numFmtId="2" fontId="32" fillId="0" borderId="0" xfId="0" applyNumberFormat="1" applyFont="1" applyFill="1" applyBorder="1" applyAlignment="1">
      <alignment horizontal="center"/>
    </xf>
    <xf numFmtId="164" fontId="32" fillId="0" borderId="0" xfId="0" applyNumberFormat="1" applyFont="1" applyFill="1" applyBorder="1" applyAlignment="1">
      <alignment horizontal="center"/>
    </xf>
    <xf numFmtId="164" fontId="19" fillId="5" borderId="0" xfId="0" applyNumberFormat="1" applyFont="1" applyFill="1" applyBorder="1" applyAlignment="1">
      <alignment horizontal="center"/>
    </xf>
    <xf numFmtId="0" fontId="34" fillId="8" borderId="3" xfId="0" applyFont="1" applyFill="1" applyBorder="1" applyAlignment="1">
      <alignment horizontal="left" vertical="center"/>
    </xf>
    <xf numFmtId="0" fontId="34" fillId="9" borderId="3" xfId="0" applyFont="1" applyFill="1" applyBorder="1" applyAlignment="1">
      <alignment horizontal="left" vertical="center"/>
    </xf>
    <xf numFmtId="0" fontId="4" fillId="0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34" fillId="10" borderId="3" xfId="0" applyFont="1" applyFill="1" applyBorder="1" applyAlignment="1">
      <alignment horizontal="left" vertical="center"/>
    </xf>
    <xf numFmtId="164" fontId="19" fillId="4" borderId="0" xfId="0" applyNumberFormat="1" applyFont="1" applyFill="1" applyBorder="1" applyAlignment="1">
      <alignment horizontal="center"/>
    </xf>
    <xf numFmtId="0" fontId="17" fillId="0" borderId="0" xfId="0" applyFont="1" applyFill="1"/>
    <xf numFmtId="0" fontId="31" fillId="5" borderId="0" xfId="0" applyFont="1" applyFill="1" applyBorder="1" applyAlignment="1">
      <alignment horizontal="right"/>
    </xf>
    <xf numFmtId="0" fontId="0" fillId="0" borderId="0" xfId="0" applyFill="1" applyBorder="1"/>
    <xf numFmtId="0" fontId="7" fillId="5" borderId="0" xfId="1" applyFont="1" applyFill="1" applyAlignment="1" applyProtection="1"/>
    <xf numFmtId="0" fontId="0" fillId="5" borderId="0" xfId="0" applyFill="1" applyBorder="1" applyAlignment="1"/>
    <xf numFmtId="0" fontId="2" fillId="5" borderId="0" xfId="0" applyFont="1" applyFill="1" applyAlignment="1"/>
    <xf numFmtId="0" fontId="35" fillId="5" borderId="8" xfId="0" applyFont="1" applyFill="1" applyBorder="1" applyAlignment="1">
      <alignment horizontal="center"/>
    </xf>
    <xf numFmtId="0" fontId="35" fillId="5" borderId="9" xfId="0" applyFont="1" applyFill="1" applyBorder="1" applyAlignment="1">
      <alignment horizontal="center"/>
    </xf>
    <xf numFmtId="0" fontId="34" fillId="5" borderId="10" xfId="0" applyFont="1" applyFill="1" applyBorder="1" applyAlignment="1">
      <alignment horizontal="center"/>
    </xf>
    <xf numFmtId="0" fontId="16" fillId="5" borderId="0" xfId="0" applyFont="1" applyFill="1" applyBorder="1" applyAlignment="1">
      <alignment horizontal="center"/>
    </xf>
    <xf numFmtId="0" fontId="34" fillId="11" borderId="3" xfId="0" applyFont="1" applyFill="1" applyBorder="1" applyAlignment="1">
      <alignment horizontal="left" vertical="center"/>
    </xf>
    <xf numFmtId="0" fontId="34" fillId="12" borderId="3" xfId="0" applyFont="1" applyFill="1" applyBorder="1" applyAlignment="1">
      <alignment horizontal="left" vertical="center"/>
    </xf>
    <xf numFmtId="164" fontId="19" fillId="2" borderId="0" xfId="0" applyNumberFormat="1" applyFont="1" applyFill="1" applyBorder="1" applyAlignment="1">
      <alignment horizontal="center"/>
    </xf>
    <xf numFmtId="0" fontId="34" fillId="13" borderId="3" xfId="0" applyFont="1" applyFill="1" applyBorder="1" applyAlignment="1">
      <alignment horizontal="left" vertical="center"/>
    </xf>
    <xf numFmtId="2" fontId="15" fillId="4" borderId="0" xfId="0" applyNumberFormat="1" applyFont="1" applyFill="1" applyBorder="1" applyAlignment="1">
      <alignment horizontal="center"/>
    </xf>
    <xf numFmtId="164" fontId="15" fillId="4" borderId="0" xfId="0" applyNumberFormat="1" applyFont="1" applyFill="1" applyBorder="1" applyAlignment="1">
      <alignment horizontal="center"/>
    </xf>
    <xf numFmtId="2" fontId="15" fillId="4" borderId="2" xfId="0" applyNumberFormat="1" applyFont="1" applyFill="1" applyBorder="1" applyAlignment="1">
      <alignment horizontal="center"/>
    </xf>
    <xf numFmtId="164" fontId="15" fillId="4" borderId="2" xfId="0" applyNumberFormat="1" applyFont="1" applyFill="1" applyBorder="1" applyAlignment="1">
      <alignment horizontal="center"/>
    </xf>
    <xf numFmtId="0" fontId="0" fillId="0" borderId="2" xfId="0" applyBorder="1"/>
    <xf numFmtId="0" fontId="0" fillId="7" borderId="0" xfId="0" applyFill="1"/>
    <xf numFmtId="2" fontId="15" fillId="7" borderId="2" xfId="0" applyNumberFormat="1" applyFont="1" applyFill="1" applyBorder="1" applyAlignment="1">
      <alignment horizontal="center"/>
    </xf>
    <xf numFmtId="164" fontId="15" fillId="7" borderId="2" xfId="0" applyNumberFormat="1" applyFont="1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34" fillId="14" borderId="0" xfId="0" applyFont="1" applyFill="1" applyBorder="1" applyAlignment="1">
      <alignment horizontal="left" vertical="center"/>
    </xf>
    <xf numFmtId="0" fontId="34" fillId="15" borderId="3" xfId="0" applyFont="1" applyFill="1" applyBorder="1" applyAlignment="1">
      <alignment horizontal="left" vertical="center"/>
    </xf>
    <xf numFmtId="0" fontId="0" fillId="3" borderId="0" xfId="0" applyFill="1"/>
    <xf numFmtId="0" fontId="0" fillId="2" borderId="0" xfId="0" applyFill="1"/>
    <xf numFmtId="0" fontId="0" fillId="3" borderId="2" xfId="0" applyFill="1" applyBorder="1"/>
    <xf numFmtId="0" fontId="0" fillId="2" borderId="2" xfId="0" applyFill="1" applyBorder="1"/>
    <xf numFmtId="0" fontId="17" fillId="5" borderId="0" xfId="0" applyFont="1" applyFill="1" applyBorder="1"/>
    <xf numFmtId="165" fontId="17" fillId="5" borderId="0" xfId="0" applyNumberFormat="1" applyFont="1" applyFill="1" applyBorder="1" applyAlignment="1">
      <alignment horizontal="center"/>
    </xf>
    <xf numFmtId="165" fontId="17" fillId="7" borderId="0" xfId="0" applyNumberFormat="1" applyFont="1" applyFill="1" applyBorder="1" applyAlignment="1">
      <alignment horizontal="center"/>
    </xf>
    <xf numFmtId="165" fontId="17" fillId="5" borderId="2" xfId="0" applyNumberFormat="1" applyFont="1" applyFill="1" applyBorder="1" applyAlignment="1">
      <alignment horizontal="center"/>
    </xf>
    <xf numFmtId="165" fontId="17" fillId="0" borderId="0" xfId="0" applyNumberFormat="1" applyFont="1" applyFill="1" applyAlignment="1">
      <alignment horizontal="center"/>
    </xf>
    <xf numFmtId="165" fontId="17" fillId="7" borderId="0" xfId="0" applyNumberFormat="1" applyFont="1" applyFill="1" applyAlignment="1">
      <alignment horizontal="center"/>
    </xf>
    <xf numFmtId="2" fontId="17" fillId="5" borderId="0" xfId="0" applyNumberFormat="1" applyFont="1" applyFill="1" applyBorder="1" applyAlignment="1">
      <alignment horizontal="center"/>
    </xf>
    <xf numFmtId="2" fontId="17" fillId="7" borderId="0" xfId="0" applyNumberFormat="1" applyFont="1" applyFill="1" applyBorder="1" applyAlignment="1">
      <alignment horizontal="center"/>
    </xf>
    <xf numFmtId="2" fontId="17" fillId="5" borderId="2" xfId="0" applyNumberFormat="1" applyFont="1" applyFill="1" applyBorder="1" applyAlignment="1">
      <alignment horizontal="center"/>
    </xf>
    <xf numFmtId="164" fontId="17" fillId="5" borderId="0" xfId="0" applyNumberFormat="1" applyFont="1" applyFill="1" applyBorder="1" applyAlignment="1">
      <alignment horizontal="center"/>
    </xf>
    <xf numFmtId="164" fontId="17" fillId="7" borderId="0" xfId="0" applyNumberFormat="1" applyFont="1" applyFill="1" applyBorder="1" applyAlignment="1">
      <alignment horizontal="center"/>
    </xf>
    <xf numFmtId="164" fontId="17" fillId="5" borderId="2" xfId="0" applyNumberFormat="1" applyFont="1" applyFill="1" applyBorder="1" applyAlignment="1">
      <alignment horizontal="center"/>
    </xf>
    <xf numFmtId="0" fontId="17" fillId="0" borderId="0" xfId="0" applyFont="1" applyFill="1" applyAlignment="1">
      <alignment horizontal="center"/>
    </xf>
    <xf numFmtId="165" fontId="18" fillId="5" borderId="0" xfId="0" applyNumberFormat="1" applyFont="1" applyFill="1" applyBorder="1" applyAlignment="1">
      <alignment horizontal="center"/>
    </xf>
    <xf numFmtId="165" fontId="18" fillId="5" borderId="2" xfId="0" applyNumberFormat="1" applyFont="1" applyFill="1" applyBorder="1" applyAlignment="1">
      <alignment horizontal="center"/>
    </xf>
    <xf numFmtId="2" fontId="17" fillId="6" borderId="0" xfId="0" applyNumberFormat="1" applyFont="1" applyFill="1" applyBorder="1" applyAlignment="1">
      <alignment horizontal="center"/>
    </xf>
    <xf numFmtId="2" fontId="17" fillId="6" borderId="2" xfId="0" applyNumberFormat="1" applyFont="1" applyFill="1" applyBorder="1" applyAlignment="1">
      <alignment horizontal="center"/>
    </xf>
    <xf numFmtId="164" fontId="17" fillId="6" borderId="0" xfId="0" applyNumberFormat="1" applyFont="1" applyFill="1" applyBorder="1" applyAlignment="1">
      <alignment horizontal="center"/>
    </xf>
    <xf numFmtId="164" fontId="17" fillId="6" borderId="2" xfId="0" applyNumberFormat="1" applyFont="1" applyFill="1" applyBorder="1" applyAlignment="1">
      <alignment horizontal="center"/>
    </xf>
    <xf numFmtId="164" fontId="18" fillId="5" borderId="0" xfId="0" applyNumberFormat="1" applyFont="1" applyFill="1" applyBorder="1" applyAlignment="1">
      <alignment horizontal="center"/>
    </xf>
    <xf numFmtId="164" fontId="18" fillId="6" borderId="0" xfId="0" applyNumberFormat="1" applyFont="1" applyFill="1" applyBorder="1" applyAlignment="1">
      <alignment horizontal="center"/>
    </xf>
    <xf numFmtId="164" fontId="18" fillId="5" borderId="2" xfId="0" applyNumberFormat="1" applyFont="1" applyFill="1" applyBorder="1" applyAlignment="1">
      <alignment horizontal="center"/>
    </xf>
    <xf numFmtId="2" fontId="18" fillId="5" borderId="0" xfId="0" applyNumberFormat="1" applyFont="1" applyFill="1" applyBorder="1" applyAlignment="1">
      <alignment horizontal="center"/>
    </xf>
    <xf numFmtId="2" fontId="18" fillId="6" borderId="0" xfId="0" applyNumberFormat="1" applyFont="1" applyFill="1" applyBorder="1" applyAlignment="1">
      <alignment horizontal="center"/>
    </xf>
    <xf numFmtId="2" fontId="18" fillId="5" borderId="2" xfId="0" applyNumberFormat="1" applyFont="1" applyFill="1" applyBorder="1" applyAlignment="1">
      <alignment horizontal="center"/>
    </xf>
    <xf numFmtId="165" fontId="17" fillId="6" borderId="0" xfId="0" applyNumberFormat="1" applyFont="1" applyFill="1" applyAlignment="1">
      <alignment horizontal="center"/>
    </xf>
    <xf numFmtId="165" fontId="17" fillId="0" borderId="2" xfId="0" applyNumberFormat="1" applyFont="1" applyFill="1" applyBorder="1" applyAlignment="1">
      <alignment horizontal="center"/>
    </xf>
    <xf numFmtId="0" fontId="17" fillId="0" borderId="0" xfId="0" applyFont="1" applyFill="1" applyBorder="1" applyAlignment="1">
      <alignment horizontal="center"/>
    </xf>
    <xf numFmtId="165" fontId="18" fillId="4" borderId="0" xfId="0" applyNumberFormat="1" applyFont="1" applyFill="1" applyBorder="1" applyAlignment="1">
      <alignment horizontal="center"/>
    </xf>
    <xf numFmtId="2" fontId="18" fillId="4" borderId="0" xfId="0" applyNumberFormat="1" applyFont="1" applyFill="1" applyBorder="1" applyAlignment="1">
      <alignment horizontal="center"/>
    </xf>
    <xf numFmtId="164" fontId="18" fillId="4" borderId="0" xfId="0" applyNumberFormat="1" applyFont="1" applyFill="1" applyBorder="1" applyAlignment="1">
      <alignment horizontal="center"/>
    </xf>
    <xf numFmtId="2" fontId="18" fillId="4" borderId="2" xfId="0" applyNumberFormat="1" applyFont="1" applyFill="1" applyBorder="1" applyAlignment="1">
      <alignment horizontal="center"/>
    </xf>
    <xf numFmtId="164" fontId="18" fillId="4" borderId="2" xfId="0" applyNumberFormat="1" applyFont="1" applyFill="1" applyBorder="1" applyAlignment="1">
      <alignment horizontal="center"/>
    </xf>
    <xf numFmtId="0" fontId="17" fillId="0" borderId="0" xfId="0" applyFont="1" applyAlignment="1">
      <alignment horizontal="center"/>
    </xf>
    <xf numFmtId="165" fontId="17" fillId="3" borderId="0" xfId="0" applyNumberFormat="1" applyFont="1" applyFill="1" applyBorder="1" applyAlignment="1">
      <alignment horizontal="center"/>
    </xf>
    <xf numFmtId="165" fontId="17" fillId="3" borderId="2" xfId="0" applyNumberFormat="1" applyFont="1" applyFill="1" applyBorder="1" applyAlignment="1">
      <alignment horizontal="center"/>
    </xf>
    <xf numFmtId="2" fontId="17" fillId="3" borderId="0" xfId="0" applyNumberFormat="1" applyFont="1" applyFill="1" applyBorder="1" applyAlignment="1">
      <alignment horizontal="center"/>
    </xf>
    <xf numFmtId="164" fontId="17" fillId="3" borderId="0" xfId="0" applyNumberFormat="1" applyFont="1" applyFill="1" applyBorder="1" applyAlignment="1">
      <alignment horizontal="center"/>
    </xf>
    <xf numFmtId="2" fontId="17" fillId="3" borderId="2" xfId="0" applyNumberFormat="1" applyFont="1" applyFill="1" applyBorder="1" applyAlignment="1">
      <alignment horizontal="center"/>
    </xf>
    <xf numFmtId="164" fontId="17" fillId="3" borderId="2" xfId="0" applyNumberFormat="1" applyFont="1" applyFill="1" applyBorder="1" applyAlignment="1">
      <alignment horizontal="center"/>
    </xf>
    <xf numFmtId="165" fontId="18" fillId="2" borderId="0" xfId="0" applyNumberFormat="1" applyFont="1" applyFill="1" applyBorder="1" applyAlignment="1">
      <alignment horizontal="center"/>
    </xf>
    <xf numFmtId="165" fontId="17" fillId="7" borderId="2" xfId="0" applyNumberFormat="1" applyFont="1" applyFill="1" applyBorder="1" applyAlignment="1">
      <alignment horizontal="center"/>
    </xf>
    <xf numFmtId="165" fontId="17" fillId="4" borderId="0" xfId="0" applyNumberFormat="1" applyFont="1" applyFill="1" applyBorder="1" applyAlignment="1">
      <alignment horizontal="center"/>
    </xf>
    <xf numFmtId="165" fontId="17" fillId="5" borderId="2" xfId="0" applyNumberFormat="1" applyFont="1" applyFill="1" applyBorder="1" applyAlignment="1">
      <alignment horizontal="center" vertical="center"/>
    </xf>
    <xf numFmtId="165" fontId="17" fillId="2" borderId="0" xfId="0" applyNumberFormat="1" applyFont="1" applyFill="1" applyBorder="1" applyAlignment="1">
      <alignment horizontal="center"/>
    </xf>
    <xf numFmtId="165" fontId="17" fillId="2" borderId="2" xfId="0" applyNumberFormat="1" applyFont="1" applyFill="1" applyBorder="1" applyAlignment="1">
      <alignment horizontal="center"/>
    </xf>
    <xf numFmtId="165" fontId="18" fillId="5" borderId="0" xfId="0" applyNumberFormat="1" applyFont="1" applyFill="1" applyBorder="1" applyAlignment="1" applyProtection="1">
      <alignment horizontal="center"/>
      <protection hidden="1"/>
    </xf>
    <xf numFmtId="165" fontId="18" fillId="2" borderId="0" xfId="0" applyNumberFormat="1" applyFont="1" applyFill="1" applyBorder="1" applyAlignment="1" applyProtection="1">
      <alignment horizontal="center"/>
      <protection hidden="1"/>
    </xf>
    <xf numFmtId="165" fontId="18" fillId="5" borderId="2" xfId="0" applyNumberFormat="1" applyFont="1" applyFill="1" applyBorder="1" applyAlignment="1" applyProtection="1">
      <alignment horizontal="center"/>
      <protection hidden="1"/>
    </xf>
    <xf numFmtId="165" fontId="17" fillId="5" borderId="0" xfId="0" applyNumberFormat="1" applyFont="1" applyFill="1" applyBorder="1" applyAlignment="1" applyProtection="1">
      <alignment horizontal="center"/>
      <protection hidden="1"/>
    </xf>
    <xf numFmtId="165" fontId="17" fillId="7" borderId="0" xfId="0" applyNumberFormat="1" applyFont="1" applyFill="1" applyBorder="1" applyAlignment="1" applyProtection="1">
      <alignment horizontal="center"/>
      <protection hidden="1"/>
    </xf>
    <xf numFmtId="165" fontId="17" fillId="5" borderId="2" xfId="0" applyNumberFormat="1" applyFont="1" applyFill="1" applyBorder="1" applyAlignment="1" applyProtection="1">
      <alignment horizontal="center"/>
      <protection hidden="1"/>
    </xf>
    <xf numFmtId="165" fontId="18" fillId="6" borderId="0" xfId="0" applyNumberFormat="1" applyFont="1" applyFill="1" applyBorder="1" applyAlignment="1" applyProtection="1">
      <alignment horizontal="center"/>
      <protection hidden="1"/>
    </xf>
    <xf numFmtId="165" fontId="17" fillId="6" borderId="0" xfId="0" applyNumberFormat="1" applyFont="1" applyFill="1" applyBorder="1" applyAlignment="1" applyProtection="1">
      <alignment horizontal="center"/>
      <protection hidden="1"/>
    </xf>
    <xf numFmtId="165" fontId="17" fillId="6" borderId="2" xfId="0" applyNumberFormat="1" applyFont="1" applyFill="1" applyBorder="1" applyAlignment="1" applyProtection="1">
      <alignment horizontal="center"/>
      <protection hidden="1"/>
    </xf>
    <xf numFmtId="165" fontId="18" fillId="4" borderId="0" xfId="0" applyNumberFormat="1" applyFont="1" applyFill="1" applyBorder="1" applyAlignment="1" applyProtection="1">
      <alignment horizontal="center"/>
      <protection hidden="1"/>
    </xf>
    <xf numFmtId="165" fontId="18" fillId="4" borderId="2" xfId="0" applyNumberFormat="1" applyFont="1" applyFill="1" applyBorder="1" applyAlignment="1" applyProtection="1">
      <alignment horizontal="center"/>
      <protection hidden="1"/>
    </xf>
    <xf numFmtId="165" fontId="17" fillId="3" borderId="0" xfId="0" applyNumberFormat="1" applyFont="1" applyFill="1" applyBorder="1" applyAlignment="1" applyProtection="1">
      <alignment horizontal="center"/>
      <protection hidden="1"/>
    </xf>
    <xf numFmtId="165" fontId="17" fillId="3" borderId="2" xfId="0" applyNumberFormat="1" applyFont="1" applyFill="1" applyBorder="1" applyAlignment="1" applyProtection="1">
      <alignment horizontal="center"/>
      <protection hidden="1"/>
    </xf>
    <xf numFmtId="165" fontId="17" fillId="7" borderId="2" xfId="0" applyNumberFormat="1" applyFont="1" applyFill="1" applyBorder="1" applyAlignment="1" applyProtection="1">
      <alignment horizontal="center"/>
      <protection hidden="1"/>
    </xf>
    <xf numFmtId="164" fontId="32" fillId="14" borderId="0" xfId="0" applyNumberFormat="1" applyFont="1" applyFill="1" applyBorder="1" applyAlignment="1" applyProtection="1">
      <alignment horizontal="center" vertical="center"/>
      <protection hidden="1"/>
    </xf>
    <xf numFmtId="2" fontId="32" fillId="14" borderId="0" xfId="0" applyNumberFormat="1" applyFont="1" applyFill="1" applyBorder="1" applyAlignment="1" applyProtection="1">
      <alignment horizontal="center" vertical="center"/>
      <protection hidden="1"/>
    </xf>
    <xf numFmtId="1" fontId="32" fillId="14" borderId="0" xfId="0" applyNumberFormat="1" applyFont="1" applyFill="1" applyBorder="1" applyAlignment="1" applyProtection="1">
      <alignment horizontal="center" vertical="center"/>
      <protection hidden="1"/>
    </xf>
    <xf numFmtId="9" fontId="33" fillId="14" borderId="0" xfId="0" applyNumberFormat="1" applyFont="1" applyFill="1" applyBorder="1" applyAlignment="1" applyProtection="1">
      <alignment horizontal="center" vertical="center"/>
      <protection hidden="1"/>
    </xf>
    <xf numFmtId="165" fontId="17" fillId="4" borderId="0" xfId="0" applyNumberFormat="1" applyFont="1" applyFill="1" applyBorder="1" applyAlignment="1" applyProtection="1">
      <alignment horizontal="center"/>
      <protection hidden="1"/>
    </xf>
    <xf numFmtId="165" fontId="17" fillId="4" borderId="2" xfId="0" applyNumberFormat="1" applyFont="1" applyFill="1" applyBorder="1" applyAlignment="1" applyProtection="1">
      <alignment horizontal="center"/>
      <protection hidden="1"/>
    </xf>
    <xf numFmtId="165" fontId="18" fillId="2" borderId="2" xfId="0" applyNumberFormat="1" applyFont="1" applyFill="1" applyBorder="1" applyAlignment="1" applyProtection="1">
      <alignment horizontal="center"/>
      <protection hidden="1"/>
    </xf>
    <xf numFmtId="164" fontId="32" fillId="12" borderId="3" xfId="0" applyNumberFormat="1" applyFont="1" applyFill="1" applyBorder="1" applyAlignment="1" applyProtection="1">
      <alignment horizontal="center" vertical="center"/>
      <protection hidden="1"/>
    </xf>
    <xf numFmtId="2" fontId="32" fillId="12" borderId="3" xfId="0" applyNumberFormat="1" applyFont="1" applyFill="1" applyBorder="1" applyAlignment="1" applyProtection="1">
      <alignment horizontal="center" vertical="center"/>
      <protection hidden="1"/>
    </xf>
    <xf numFmtId="1" fontId="32" fillId="12" borderId="3" xfId="0" applyNumberFormat="1" applyFont="1" applyFill="1" applyBorder="1" applyAlignment="1" applyProtection="1">
      <alignment horizontal="center" vertical="center"/>
      <protection hidden="1"/>
    </xf>
    <xf numFmtId="9" fontId="33" fillId="12" borderId="3" xfId="0" applyNumberFormat="1" applyFont="1" applyFill="1" applyBorder="1" applyAlignment="1" applyProtection="1">
      <alignment horizontal="center" vertical="center"/>
      <protection hidden="1"/>
    </xf>
    <xf numFmtId="164" fontId="32" fillId="15" borderId="3" xfId="0" applyNumberFormat="1" applyFont="1" applyFill="1" applyBorder="1" applyAlignment="1" applyProtection="1">
      <alignment horizontal="center" vertical="center"/>
      <protection hidden="1"/>
    </xf>
    <xf numFmtId="2" fontId="32" fillId="15" borderId="3" xfId="0" applyNumberFormat="1" applyFont="1" applyFill="1" applyBorder="1" applyAlignment="1" applyProtection="1">
      <alignment horizontal="center" vertical="center"/>
      <protection hidden="1"/>
    </xf>
    <xf numFmtId="1" fontId="32" fillId="15" borderId="3" xfId="0" applyNumberFormat="1" applyFont="1" applyFill="1" applyBorder="1" applyAlignment="1" applyProtection="1">
      <alignment horizontal="center" vertical="center"/>
      <protection hidden="1"/>
    </xf>
    <xf numFmtId="9" fontId="33" fillId="15" borderId="3" xfId="0" applyNumberFormat="1" applyFont="1" applyFill="1" applyBorder="1" applyAlignment="1" applyProtection="1">
      <alignment horizontal="center" vertical="center"/>
      <protection hidden="1"/>
    </xf>
    <xf numFmtId="164" fontId="32" fillId="13" borderId="3" xfId="0" applyNumberFormat="1" applyFont="1" applyFill="1" applyBorder="1" applyAlignment="1" applyProtection="1">
      <alignment horizontal="center" vertical="center"/>
      <protection hidden="1"/>
    </xf>
    <xf numFmtId="2" fontId="32" fillId="13" borderId="3" xfId="0" applyNumberFormat="1" applyFont="1" applyFill="1" applyBorder="1" applyAlignment="1" applyProtection="1">
      <alignment horizontal="center" vertical="center"/>
      <protection hidden="1"/>
    </xf>
    <xf numFmtId="1" fontId="32" fillId="13" borderId="3" xfId="0" applyNumberFormat="1" applyFont="1" applyFill="1" applyBorder="1" applyAlignment="1" applyProtection="1">
      <alignment horizontal="center" vertical="center"/>
      <protection hidden="1"/>
    </xf>
    <xf numFmtId="9" fontId="33" fillId="13" borderId="3" xfId="0" applyNumberFormat="1" applyFont="1" applyFill="1" applyBorder="1" applyAlignment="1" applyProtection="1">
      <alignment horizontal="center" vertical="center"/>
      <protection hidden="1"/>
    </xf>
    <xf numFmtId="164" fontId="32" fillId="11" borderId="3" xfId="0" applyNumberFormat="1" applyFont="1" applyFill="1" applyBorder="1" applyAlignment="1" applyProtection="1">
      <alignment horizontal="center" vertical="center"/>
      <protection hidden="1"/>
    </xf>
    <xf numFmtId="2" fontId="32" fillId="11" borderId="3" xfId="0" applyNumberFormat="1" applyFont="1" applyFill="1" applyBorder="1" applyAlignment="1" applyProtection="1">
      <alignment horizontal="center" vertical="center"/>
      <protection hidden="1"/>
    </xf>
    <xf numFmtId="1" fontId="32" fillId="11" borderId="3" xfId="0" applyNumberFormat="1" applyFont="1" applyFill="1" applyBorder="1" applyAlignment="1" applyProtection="1">
      <alignment horizontal="center" vertical="center"/>
      <protection hidden="1"/>
    </xf>
    <xf numFmtId="9" fontId="33" fillId="11" borderId="3" xfId="0" applyNumberFormat="1" applyFont="1" applyFill="1" applyBorder="1" applyAlignment="1" applyProtection="1">
      <alignment horizontal="center" vertical="center"/>
      <protection hidden="1"/>
    </xf>
    <xf numFmtId="164" fontId="32" fillId="10" borderId="3" xfId="0" applyNumberFormat="1" applyFont="1" applyFill="1" applyBorder="1" applyAlignment="1" applyProtection="1">
      <alignment horizontal="center" vertical="center"/>
      <protection hidden="1"/>
    </xf>
    <xf numFmtId="2" fontId="32" fillId="10" borderId="3" xfId="0" applyNumberFormat="1" applyFont="1" applyFill="1" applyBorder="1" applyAlignment="1" applyProtection="1">
      <alignment horizontal="center" vertical="center"/>
      <protection hidden="1"/>
    </xf>
    <xf numFmtId="1" fontId="32" fillId="10" borderId="3" xfId="0" applyNumberFormat="1" applyFont="1" applyFill="1" applyBorder="1" applyAlignment="1" applyProtection="1">
      <alignment horizontal="center" vertical="center"/>
      <protection hidden="1"/>
    </xf>
    <xf numFmtId="9" fontId="33" fillId="10" borderId="3" xfId="0" applyNumberFormat="1" applyFont="1" applyFill="1" applyBorder="1" applyAlignment="1" applyProtection="1">
      <alignment horizontal="center" vertical="center"/>
      <protection hidden="1"/>
    </xf>
    <xf numFmtId="164" fontId="32" fillId="9" borderId="3" xfId="0" applyNumberFormat="1" applyFont="1" applyFill="1" applyBorder="1" applyAlignment="1" applyProtection="1">
      <alignment horizontal="center" vertical="center"/>
      <protection hidden="1"/>
    </xf>
    <xf numFmtId="2" fontId="32" fillId="9" borderId="3" xfId="0" applyNumberFormat="1" applyFont="1" applyFill="1" applyBorder="1" applyAlignment="1" applyProtection="1">
      <alignment horizontal="center" vertical="center"/>
      <protection hidden="1"/>
    </xf>
    <xf numFmtId="1" fontId="32" fillId="9" borderId="3" xfId="0" applyNumberFormat="1" applyFont="1" applyFill="1" applyBorder="1" applyAlignment="1" applyProtection="1">
      <alignment horizontal="center" vertical="center"/>
      <protection hidden="1"/>
    </xf>
    <xf numFmtId="9" fontId="33" fillId="9" borderId="3" xfId="0" applyNumberFormat="1" applyFont="1" applyFill="1" applyBorder="1" applyAlignment="1" applyProtection="1">
      <alignment horizontal="center" vertical="center"/>
      <protection hidden="1"/>
    </xf>
    <xf numFmtId="164" fontId="32" fillId="8" borderId="3" xfId="0" applyNumberFormat="1" applyFont="1" applyFill="1" applyBorder="1" applyAlignment="1" applyProtection="1">
      <alignment horizontal="center" vertical="center"/>
      <protection hidden="1"/>
    </xf>
    <xf numFmtId="2" fontId="32" fillId="8" borderId="3" xfId="0" applyNumberFormat="1" applyFont="1" applyFill="1" applyBorder="1" applyAlignment="1" applyProtection="1">
      <alignment horizontal="center" vertical="center"/>
      <protection hidden="1"/>
    </xf>
    <xf numFmtId="1" fontId="32" fillId="8" borderId="3" xfId="0" applyNumberFormat="1" applyFont="1" applyFill="1" applyBorder="1" applyAlignment="1" applyProtection="1">
      <alignment horizontal="center" vertical="center"/>
      <protection hidden="1"/>
    </xf>
    <xf numFmtId="9" fontId="33" fillId="8" borderId="3" xfId="0" applyNumberFormat="1" applyFont="1" applyFill="1" applyBorder="1" applyAlignment="1" applyProtection="1">
      <alignment horizontal="center" vertical="center"/>
      <protection hidden="1"/>
    </xf>
    <xf numFmtId="165" fontId="15" fillId="7" borderId="4" xfId="0" applyNumberFormat="1" applyFont="1" applyFill="1" applyBorder="1" applyAlignment="1" applyProtection="1">
      <alignment horizontal="center"/>
      <protection hidden="1"/>
    </xf>
    <xf numFmtId="2" fontId="15" fillId="7" borderId="4" xfId="0" applyNumberFormat="1" applyFont="1" applyFill="1" applyBorder="1" applyAlignment="1" applyProtection="1">
      <alignment horizontal="center"/>
      <protection hidden="1"/>
    </xf>
    <xf numFmtId="164" fontId="15" fillId="7" borderId="4" xfId="0" applyNumberFormat="1" applyFont="1" applyFill="1" applyBorder="1" applyAlignment="1" applyProtection="1">
      <alignment horizontal="center"/>
      <protection hidden="1"/>
    </xf>
    <xf numFmtId="0" fontId="6" fillId="5" borderId="0" xfId="1" applyFont="1" applyFill="1" applyBorder="1" applyAlignment="1" applyProtection="1">
      <protection hidden="1"/>
    </xf>
    <xf numFmtId="165" fontId="15" fillId="6" borderId="5" xfId="0" applyNumberFormat="1" applyFont="1" applyFill="1" applyBorder="1" applyAlignment="1" applyProtection="1">
      <alignment horizontal="center"/>
      <protection hidden="1"/>
    </xf>
    <xf numFmtId="2" fontId="15" fillId="6" borderId="6" xfId="0" applyNumberFormat="1" applyFont="1" applyFill="1" applyBorder="1" applyAlignment="1" applyProtection="1">
      <alignment horizontal="center"/>
      <protection hidden="1"/>
    </xf>
    <xf numFmtId="164" fontId="15" fillId="6" borderId="7" xfId="0" applyNumberFormat="1" applyFont="1" applyFill="1" applyBorder="1" applyAlignment="1" applyProtection="1">
      <alignment horizontal="center"/>
      <protection hidden="1"/>
    </xf>
    <xf numFmtId="0" fontId="6" fillId="0" borderId="0" xfId="1" applyFont="1" applyFill="1" applyBorder="1" applyAlignment="1" applyProtection="1">
      <protection hidden="1"/>
    </xf>
    <xf numFmtId="165" fontId="15" fillId="4" borderId="4" xfId="0" applyNumberFormat="1" applyFont="1" applyFill="1" applyBorder="1" applyAlignment="1" applyProtection="1">
      <alignment horizontal="center"/>
      <protection hidden="1"/>
    </xf>
    <xf numFmtId="2" fontId="15" fillId="4" borderId="4" xfId="0" applyNumberFormat="1" applyFont="1" applyFill="1" applyBorder="1" applyAlignment="1" applyProtection="1">
      <alignment horizontal="center"/>
      <protection hidden="1"/>
    </xf>
    <xf numFmtId="164" fontId="15" fillId="4" borderId="4" xfId="0" applyNumberFormat="1" applyFont="1" applyFill="1" applyBorder="1" applyAlignment="1" applyProtection="1">
      <alignment horizontal="center"/>
      <protection hidden="1"/>
    </xf>
    <xf numFmtId="0" fontId="0" fillId="0" borderId="0" xfId="0" applyFill="1" applyBorder="1" applyProtection="1">
      <protection hidden="1"/>
    </xf>
    <xf numFmtId="165" fontId="15" fillId="3" borderId="4" xfId="0" applyNumberFormat="1" applyFont="1" applyFill="1" applyBorder="1" applyAlignment="1" applyProtection="1">
      <alignment horizontal="center"/>
      <protection hidden="1"/>
    </xf>
    <xf numFmtId="2" fontId="15" fillId="3" borderId="4" xfId="0" applyNumberFormat="1" applyFont="1" applyFill="1" applyBorder="1" applyAlignment="1" applyProtection="1">
      <alignment horizontal="center"/>
      <protection hidden="1"/>
    </xf>
    <xf numFmtId="164" fontId="15" fillId="3" borderId="4" xfId="0" applyNumberFormat="1" applyFont="1" applyFill="1" applyBorder="1" applyAlignment="1" applyProtection="1">
      <alignment horizontal="center"/>
      <protection hidden="1"/>
    </xf>
    <xf numFmtId="0" fontId="3" fillId="0" borderId="0" xfId="0" applyFont="1" applyFill="1" applyBorder="1" applyProtection="1">
      <protection hidden="1"/>
    </xf>
    <xf numFmtId="165" fontId="15" fillId="2" borderId="4" xfId="0" applyNumberFormat="1" applyFont="1" applyFill="1" applyBorder="1" applyAlignment="1" applyProtection="1">
      <alignment horizontal="center"/>
      <protection hidden="1"/>
    </xf>
    <xf numFmtId="2" fontId="15" fillId="2" borderId="4" xfId="0" applyNumberFormat="1" applyFont="1" applyFill="1" applyBorder="1" applyAlignment="1" applyProtection="1">
      <alignment horizontal="center"/>
      <protection hidden="1"/>
    </xf>
    <xf numFmtId="164" fontId="15" fillId="2" borderId="4" xfId="0" applyNumberFormat="1" applyFont="1" applyFill="1" applyBorder="1" applyAlignment="1" applyProtection="1">
      <alignment horizontal="center"/>
      <protection hidden="1"/>
    </xf>
    <xf numFmtId="0" fontId="1" fillId="0" borderId="0" xfId="0" applyFont="1" applyFill="1" applyBorder="1" applyProtection="1">
      <protection hidden="1"/>
    </xf>
    <xf numFmtId="0" fontId="8" fillId="0" borderId="0" xfId="0" applyFont="1" applyFill="1" applyBorder="1" applyProtection="1">
      <protection hidden="1"/>
    </xf>
    <xf numFmtId="165" fontId="16" fillId="5" borderId="0" xfId="0" applyNumberFormat="1" applyFont="1" applyFill="1" applyBorder="1" applyAlignment="1" applyProtection="1">
      <alignment horizontal="center"/>
      <protection hidden="1"/>
    </xf>
    <xf numFmtId="2" fontId="16" fillId="5" borderId="0" xfId="0" applyNumberFormat="1" applyFont="1" applyFill="1" applyBorder="1" applyAlignment="1" applyProtection="1">
      <alignment horizontal="center"/>
      <protection hidden="1"/>
    </xf>
    <xf numFmtId="164" fontId="16" fillId="5" borderId="0" xfId="0" applyNumberFormat="1" applyFont="1" applyFill="1" applyBorder="1" applyAlignment="1" applyProtection="1">
      <alignment horizontal="center"/>
      <protection hidden="1"/>
    </xf>
    <xf numFmtId="1" fontId="15" fillId="5" borderId="0" xfId="0" applyNumberFormat="1" applyFont="1" applyFill="1" applyBorder="1" applyAlignment="1" applyProtection="1">
      <alignment horizontal="center"/>
      <protection locked="0"/>
    </xf>
    <xf numFmtId="1" fontId="15" fillId="7" borderId="0" xfId="0" applyNumberFormat="1" applyFont="1" applyFill="1" applyBorder="1" applyAlignment="1" applyProtection="1">
      <alignment horizontal="center"/>
      <protection locked="0"/>
    </xf>
    <xf numFmtId="1" fontId="15" fillId="5" borderId="2" xfId="0" applyNumberFormat="1" applyFont="1" applyFill="1" applyBorder="1" applyAlignment="1" applyProtection="1">
      <alignment horizontal="center"/>
      <protection locked="0"/>
    </xf>
    <xf numFmtId="0" fontId="15" fillId="5" borderId="0" xfId="0" applyFont="1" applyFill="1" applyBorder="1" applyAlignment="1" applyProtection="1">
      <alignment horizontal="center"/>
      <protection locked="0"/>
    </xf>
    <xf numFmtId="0" fontId="15" fillId="7" borderId="0" xfId="0" applyFont="1" applyFill="1" applyBorder="1" applyAlignment="1" applyProtection="1">
      <alignment horizontal="center"/>
      <protection locked="0"/>
    </xf>
    <xf numFmtId="0" fontId="15" fillId="5" borderId="2" xfId="0" applyFont="1" applyFill="1" applyBorder="1" applyAlignment="1" applyProtection="1">
      <alignment horizontal="center"/>
      <protection locked="0"/>
    </xf>
    <xf numFmtId="1" fontId="15" fillId="6" borderId="0" xfId="0" applyNumberFormat="1" applyFont="1" applyFill="1" applyBorder="1" applyAlignment="1" applyProtection="1">
      <alignment horizontal="center"/>
      <protection locked="0"/>
    </xf>
    <xf numFmtId="1" fontId="15" fillId="6" borderId="2" xfId="0" applyNumberFormat="1" applyFont="1" applyFill="1" applyBorder="1" applyAlignment="1" applyProtection="1">
      <alignment horizontal="center"/>
      <protection locked="0"/>
    </xf>
    <xf numFmtId="1" fontId="19" fillId="5" borderId="0" xfId="0" applyNumberFormat="1" applyFont="1" applyFill="1" applyBorder="1" applyAlignment="1" applyProtection="1">
      <alignment horizontal="center"/>
      <protection locked="0"/>
    </xf>
    <xf numFmtId="1" fontId="19" fillId="6" borderId="0" xfId="0" applyNumberFormat="1" applyFont="1" applyFill="1" applyBorder="1" applyAlignment="1" applyProtection="1">
      <alignment horizontal="center"/>
      <protection locked="0"/>
    </xf>
    <xf numFmtId="1" fontId="19" fillId="5" borderId="2" xfId="0" applyNumberFormat="1" applyFont="1" applyFill="1" applyBorder="1" applyAlignment="1" applyProtection="1">
      <alignment horizontal="center"/>
      <protection locked="0"/>
    </xf>
    <xf numFmtId="1" fontId="19" fillId="4" borderId="0" xfId="0" applyNumberFormat="1" applyFont="1" applyFill="1" applyBorder="1" applyAlignment="1" applyProtection="1">
      <alignment horizontal="center"/>
      <protection locked="0"/>
    </xf>
    <xf numFmtId="1" fontId="19" fillId="4" borderId="2" xfId="0" applyNumberFormat="1" applyFont="1" applyFill="1" applyBorder="1" applyAlignment="1" applyProtection="1">
      <alignment horizontal="center"/>
      <protection locked="0"/>
    </xf>
    <xf numFmtId="2" fontId="15" fillId="5" borderId="0" xfId="0" applyNumberFormat="1" applyFont="1" applyFill="1" applyBorder="1" applyAlignment="1" applyProtection="1">
      <alignment horizontal="center"/>
      <protection locked="0"/>
    </xf>
    <xf numFmtId="2" fontId="15" fillId="3" borderId="0" xfId="0" applyNumberFormat="1" applyFont="1" applyFill="1" applyBorder="1" applyAlignment="1" applyProtection="1">
      <alignment horizontal="center"/>
      <protection locked="0"/>
    </xf>
    <xf numFmtId="2" fontId="15" fillId="3" borderId="2" xfId="0" applyNumberFormat="1" applyFont="1" applyFill="1" applyBorder="1" applyAlignment="1" applyProtection="1">
      <alignment horizontal="center"/>
      <protection locked="0"/>
    </xf>
    <xf numFmtId="1" fontId="19" fillId="2" borderId="0" xfId="0" applyNumberFormat="1" applyFont="1" applyFill="1" applyBorder="1" applyAlignment="1" applyProtection="1">
      <alignment horizontal="center"/>
      <protection locked="0"/>
    </xf>
    <xf numFmtId="0" fontId="0" fillId="5" borderId="2" xfId="0" applyFill="1" applyBorder="1" applyProtection="1">
      <protection locked="0"/>
    </xf>
    <xf numFmtId="0" fontId="15" fillId="5" borderId="0" xfId="0" applyFont="1" applyFill="1" applyAlignment="1" applyProtection="1">
      <alignment horizontal="center"/>
      <protection locked="0"/>
    </xf>
    <xf numFmtId="0" fontId="15" fillId="7" borderId="0" xfId="0" applyFont="1" applyFill="1" applyAlignment="1" applyProtection="1">
      <alignment horizontal="center"/>
      <protection locked="0"/>
    </xf>
    <xf numFmtId="1" fontId="15" fillId="7" borderId="2" xfId="0" applyNumberFormat="1" applyFont="1" applyFill="1" applyBorder="1" applyAlignment="1" applyProtection="1">
      <alignment horizontal="center"/>
      <protection locked="0"/>
    </xf>
    <xf numFmtId="0" fontId="15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1" fontId="15" fillId="4" borderId="0" xfId="0" applyNumberFormat="1" applyFont="1" applyFill="1" applyBorder="1" applyAlignment="1" applyProtection="1">
      <alignment horizontal="center"/>
      <protection locked="0"/>
    </xf>
    <xf numFmtId="1" fontId="15" fillId="4" borderId="2" xfId="0" applyNumberFormat="1" applyFont="1" applyFill="1" applyBorder="1" applyAlignment="1" applyProtection="1">
      <alignment horizontal="center"/>
      <protection locked="0"/>
    </xf>
    <xf numFmtId="1" fontId="0" fillId="0" borderId="2" xfId="0" applyNumberFormat="1" applyBorder="1" applyProtection="1">
      <protection locked="0"/>
    </xf>
    <xf numFmtId="0" fontId="15" fillId="3" borderId="0" xfId="0" applyFont="1" applyFill="1" applyAlignment="1" applyProtection="1">
      <alignment horizontal="center"/>
      <protection locked="0"/>
    </xf>
    <xf numFmtId="0" fontId="15" fillId="3" borderId="2" xfId="0" applyFont="1" applyFill="1" applyBorder="1" applyAlignment="1" applyProtection="1">
      <alignment horizontal="center"/>
      <protection locked="0"/>
    </xf>
    <xf numFmtId="0" fontId="15" fillId="0" borderId="2" xfId="0" applyFont="1" applyBorder="1" applyAlignment="1" applyProtection="1">
      <alignment horizontal="center"/>
      <protection locked="0"/>
    </xf>
    <xf numFmtId="0" fontId="0" fillId="5" borderId="0" xfId="0" applyFill="1" applyProtection="1">
      <protection locked="0"/>
    </xf>
    <xf numFmtId="0" fontId="0" fillId="2" borderId="0" xfId="0" applyFill="1" applyProtection="1">
      <protection locked="0"/>
    </xf>
    <xf numFmtId="0" fontId="0" fillId="2" borderId="2" xfId="0" applyFill="1" applyBorder="1" applyProtection="1">
      <protection locked="0"/>
    </xf>
    <xf numFmtId="9" fontId="16" fillId="5" borderId="0" xfId="0" applyNumberFormat="1" applyFont="1" applyFill="1" applyBorder="1" applyAlignment="1" applyProtection="1">
      <alignment horizontal="center"/>
      <protection locked="0"/>
    </xf>
    <xf numFmtId="1" fontId="19" fillId="5" borderId="0" xfId="0" applyNumberFormat="1" applyFont="1" applyFill="1" applyBorder="1" applyAlignment="1" applyProtection="1">
      <alignment horizontal="center"/>
      <protection locked="0" hidden="1"/>
    </xf>
    <xf numFmtId="1" fontId="19" fillId="4" borderId="0" xfId="0" applyNumberFormat="1" applyFont="1" applyFill="1" applyBorder="1" applyAlignment="1" applyProtection="1">
      <alignment horizontal="center"/>
      <protection locked="0" hidden="1"/>
    </xf>
    <xf numFmtId="1" fontId="19" fillId="5" borderId="2" xfId="0" applyNumberFormat="1" applyFont="1" applyFill="1" applyBorder="1" applyAlignment="1" applyProtection="1">
      <alignment horizontal="center"/>
      <protection locked="0" hidden="1"/>
    </xf>
    <xf numFmtId="0" fontId="11" fillId="5" borderId="0" xfId="1" applyFont="1" applyFill="1" applyBorder="1" applyAlignment="1" applyProtection="1">
      <alignment horizontal="center"/>
    </xf>
    <xf numFmtId="0" fontId="5" fillId="5" borderId="0" xfId="1" applyFill="1" applyBorder="1" applyAlignment="1" applyProtection="1">
      <alignment horizontal="center"/>
    </xf>
    <xf numFmtId="0" fontId="21" fillId="5" borderId="0" xfId="1" applyFont="1" applyFill="1" applyBorder="1" applyAlignment="1" applyProtection="1">
      <alignment horizontal="center"/>
    </xf>
    <xf numFmtId="0" fontId="23" fillId="4" borderId="0" xfId="1" applyFont="1" applyFill="1" applyBorder="1" applyAlignment="1" applyProtection="1"/>
    <xf numFmtId="0" fontId="23" fillId="3" borderId="0" xfId="1" applyFont="1" applyFill="1" applyBorder="1" applyAlignment="1" applyProtection="1">
      <alignment horizontal="left"/>
    </xf>
    <xf numFmtId="0" fontId="23" fillId="2" borderId="0" xfId="1" applyFont="1" applyFill="1" applyBorder="1" applyAlignment="1" applyProtection="1">
      <alignment horizontal="left"/>
    </xf>
    <xf numFmtId="0" fontId="23" fillId="7" borderId="0" xfId="1" applyFont="1" applyFill="1" applyBorder="1" applyAlignment="1" applyProtection="1">
      <alignment horizontal="left"/>
    </xf>
    <xf numFmtId="0" fontId="23" fillId="4" borderId="0" xfId="1" applyFont="1" applyFill="1" applyBorder="1" applyAlignment="1" applyProtection="1">
      <alignment horizontal="left"/>
    </xf>
    <xf numFmtId="0" fontId="36" fillId="5" borderId="0" xfId="1" applyFont="1" applyFill="1" applyBorder="1" applyAlignment="1" applyProtection="1">
      <alignment horizontal="center"/>
    </xf>
    <xf numFmtId="0" fontId="37" fillId="0" borderId="0" xfId="0" applyFont="1" applyAlignment="1">
      <alignment horizontal="center"/>
    </xf>
    <xf numFmtId="0" fontId="23" fillId="6" borderId="0" xfId="1" applyFont="1" applyFill="1" applyBorder="1" applyAlignment="1" applyProtection="1"/>
    <xf numFmtId="0" fontId="9" fillId="5" borderId="0" xfId="0" applyFont="1" applyFill="1" applyBorder="1" applyAlignment="1">
      <alignment horizontal="center"/>
    </xf>
    <xf numFmtId="0" fontId="23" fillId="7" borderId="0" xfId="1" applyFont="1" applyFill="1" applyBorder="1" applyAlignment="1" applyProtection="1"/>
    <xf numFmtId="0" fontId="10" fillId="5" borderId="0" xfId="0" applyFont="1" applyFill="1" applyBorder="1" applyAlignment="1">
      <alignment horizontal="center"/>
    </xf>
    <xf numFmtId="0" fontId="16" fillId="7" borderId="0" xfId="0" applyFont="1" applyFill="1" applyBorder="1" applyAlignment="1">
      <alignment horizontal="center"/>
    </xf>
    <xf numFmtId="0" fontId="30" fillId="0" borderId="1" xfId="1" applyFont="1" applyFill="1" applyBorder="1" applyAlignment="1" applyProtection="1">
      <alignment horizontal="center"/>
    </xf>
    <xf numFmtId="0" fontId="17" fillId="5" borderId="0" xfId="0" applyFont="1" applyFill="1" applyBorder="1" applyAlignment="1">
      <alignment horizontal="center" vertical="center" wrapText="1"/>
    </xf>
    <xf numFmtId="0" fontId="14" fillId="5" borderId="0" xfId="0" applyFont="1" applyFill="1" applyBorder="1" applyAlignment="1">
      <alignment horizontal="center"/>
    </xf>
    <xf numFmtId="0" fontId="30" fillId="0" borderId="0" xfId="1" applyFont="1" applyFill="1" applyAlignment="1" applyProtection="1">
      <alignment horizontal="center"/>
    </xf>
    <xf numFmtId="0" fontId="29" fillId="7" borderId="1" xfId="1" applyFont="1" applyFill="1" applyBorder="1" applyAlignment="1" applyProtection="1">
      <alignment horizontal="center" vertical="center"/>
    </xf>
    <xf numFmtId="0" fontId="16" fillId="0" borderId="0" xfId="0" applyFont="1" applyAlignment="1">
      <alignment horizontal="center"/>
    </xf>
    <xf numFmtId="0" fontId="30" fillId="6" borderId="1" xfId="1" applyFont="1" applyFill="1" applyBorder="1" applyAlignment="1" applyProtection="1">
      <alignment horizontal="center"/>
    </xf>
    <xf numFmtId="0" fontId="30" fillId="6" borderId="0" xfId="1" applyFont="1" applyFill="1" applyBorder="1" applyAlignment="1" applyProtection="1">
      <alignment horizontal="center" vertical="center"/>
    </xf>
    <xf numFmtId="0" fontId="31" fillId="6" borderId="0" xfId="0" applyFont="1" applyFill="1" applyBorder="1" applyAlignment="1">
      <alignment horizontal="center"/>
    </xf>
    <xf numFmtId="0" fontId="16" fillId="6" borderId="1" xfId="0" applyFont="1" applyFill="1" applyBorder="1" applyAlignment="1">
      <alignment horizontal="center"/>
    </xf>
    <xf numFmtId="0" fontId="28" fillId="4" borderId="1" xfId="1" applyFont="1" applyFill="1" applyBorder="1" applyAlignment="1" applyProtection="1">
      <alignment horizontal="center"/>
    </xf>
    <xf numFmtId="0" fontId="16" fillId="4" borderId="1" xfId="0" applyFont="1" applyFill="1" applyBorder="1" applyAlignment="1">
      <alignment horizontal="center"/>
    </xf>
    <xf numFmtId="0" fontId="30" fillId="4" borderId="0" xfId="1" applyFont="1" applyFill="1" applyAlignment="1" applyProtection="1">
      <alignment horizontal="center"/>
    </xf>
    <xf numFmtId="0" fontId="16" fillId="3" borderId="1" xfId="0" applyFont="1" applyFill="1" applyBorder="1" applyAlignment="1">
      <alignment horizontal="center"/>
    </xf>
    <xf numFmtId="0" fontId="30" fillId="3" borderId="1" xfId="1" applyFont="1" applyFill="1" applyBorder="1" applyAlignment="1" applyProtection="1">
      <alignment horizontal="center"/>
    </xf>
    <xf numFmtId="0" fontId="30" fillId="3" borderId="0" xfId="1" applyFont="1" applyFill="1" applyBorder="1" applyAlignment="1" applyProtection="1">
      <alignment horizontal="center"/>
    </xf>
    <xf numFmtId="0" fontId="16" fillId="3" borderId="0" xfId="0" applyFont="1" applyFill="1" applyBorder="1" applyAlignment="1">
      <alignment horizontal="center"/>
    </xf>
    <xf numFmtId="0" fontId="28" fillId="2" borderId="0" xfId="1" applyFont="1" applyFill="1" applyBorder="1" applyAlignment="1" applyProtection="1">
      <alignment horizontal="center"/>
    </xf>
    <xf numFmtId="0" fontId="16" fillId="2" borderId="1" xfId="0" applyFont="1" applyFill="1" applyBorder="1" applyAlignment="1">
      <alignment horizontal="center"/>
    </xf>
    <xf numFmtId="0" fontId="16" fillId="2" borderId="0" xfId="0" applyFont="1" applyFill="1" applyBorder="1" applyAlignment="1">
      <alignment horizontal="center"/>
    </xf>
    <xf numFmtId="0" fontId="29" fillId="7" borderId="1" xfId="1" applyFont="1" applyFill="1" applyBorder="1" applyAlignment="1" applyProtection="1">
      <alignment horizontal="center"/>
    </xf>
    <xf numFmtId="0" fontId="28" fillId="7" borderId="1" xfId="1" applyFont="1" applyFill="1" applyBorder="1" applyAlignment="1" applyProtection="1">
      <alignment horizontal="center"/>
    </xf>
    <xf numFmtId="0" fontId="14" fillId="0" borderId="0" xfId="0" applyFont="1" applyBorder="1" applyAlignment="1">
      <alignment horizontal="center"/>
    </xf>
    <xf numFmtId="0" fontId="16" fillId="7" borderId="1" xfId="0" applyFont="1" applyFill="1" applyBorder="1" applyAlignment="1">
      <alignment horizontal="center"/>
    </xf>
    <xf numFmtId="0" fontId="16" fillId="4" borderId="1" xfId="0" applyFont="1" applyFill="1" applyBorder="1" applyAlignment="1">
      <alignment horizontal="center" vertical="center"/>
    </xf>
    <xf numFmtId="0" fontId="16" fillId="4" borderId="0" xfId="0" applyFont="1" applyFill="1" applyBorder="1" applyAlignment="1">
      <alignment horizontal="center"/>
    </xf>
    <xf numFmtId="0" fontId="28" fillId="4" borderId="0" xfId="1" applyFont="1" applyFill="1" applyBorder="1" applyAlignment="1" applyProtection="1">
      <alignment horizontal="center"/>
    </xf>
    <xf numFmtId="0" fontId="28" fillId="3" borderId="1" xfId="1" applyFont="1" applyFill="1" applyBorder="1" applyAlignment="1" applyProtection="1">
      <alignment horizontal="center"/>
    </xf>
    <xf numFmtId="0" fontId="0" fillId="0" borderId="0" xfId="0" applyBorder="1" applyAlignment="1">
      <alignment horizontal="center" vertical="center" wrapText="1"/>
    </xf>
    <xf numFmtId="0" fontId="28" fillId="3" borderId="0" xfId="1" applyFont="1" applyFill="1" applyBorder="1" applyAlignment="1" applyProtection="1">
      <alignment horizontal="center"/>
    </xf>
    <xf numFmtId="0" fontId="28" fillId="3" borderId="0" xfId="1" applyFont="1" applyFill="1" applyBorder="1" applyAlignment="1" applyProtection="1">
      <alignment horizontal="center" vertical="center"/>
    </xf>
    <xf numFmtId="0" fontId="28" fillId="3" borderId="1" xfId="1" applyFont="1" applyFill="1" applyBorder="1" applyAlignment="1" applyProtection="1">
      <alignment horizontal="center" vertical="center"/>
    </xf>
    <xf numFmtId="0" fontId="28" fillId="2" borderId="1" xfId="1" applyFont="1" applyFill="1" applyBorder="1" applyAlignment="1" applyProtection="1">
      <alignment horizontal="center" vertical="center"/>
    </xf>
    <xf numFmtId="0" fontId="28" fillId="2" borderId="1" xfId="1" applyFont="1" applyFill="1" applyBorder="1" applyAlignment="1" applyProtection="1">
      <alignment horizontal="center"/>
    </xf>
  </cellXfs>
  <cellStyles count="7">
    <cellStyle name="Гиперссылка" xfId="1" builtinId="8"/>
    <cellStyle name="Обычный" xfId="0" builtinId="0"/>
    <cellStyle name="Обычный 3" xfId="2"/>
    <cellStyle name="Обычный 5" xfId="5"/>
    <cellStyle name="Обычный 7" xfId="6"/>
    <cellStyle name="Обычный 8" xfId="3"/>
    <cellStyle name="Обычный 9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6.xml"/><Relationship Id="rId13" Type="http://schemas.openxmlformats.org/officeDocument/2006/relationships/theme" Target="theme/theme1.xml"/><Relationship Id="rId3" Type="http://schemas.openxmlformats.org/officeDocument/2006/relationships/chartsheet" Target="chartsheets/sheet1.xml"/><Relationship Id="rId7" Type="http://schemas.openxmlformats.org/officeDocument/2006/relationships/worksheet" Target="worksheets/sheet5.xml"/><Relationship Id="rId12" Type="http://schemas.openxmlformats.org/officeDocument/2006/relationships/worksheet" Target="worksheets/sheet10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4.xml"/><Relationship Id="rId11" Type="http://schemas.openxmlformats.org/officeDocument/2006/relationships/worksheet" Target="worksheets/sheet9.xml"/><Relationship Id="rId5" Type="http://schemas.openxmlformats.org/officeDocument/2006/relationships/worksheet" Target="worksheets/sheet3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8.xml"/><Relationship Id="rId4" Type="http://schemas.openxmlformats.org/officeDocument/2006/relationships/chartsheet" Target="chartsheets/sheet2.xml"/><Relationship Id="rId9" Type="http://schemas.openxmlformats.org/officeDocument/2006/relationships/worksheet" Target="worksheets/sheet7.xml"/><Relationship Id="rId1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Синтетические!$A$24:$B$24</c:f>
              <c:strCache>
                <c:ptCount val="1"/>
                <c:pt idx="0">
                  <c:v>DG1315 Greydec 100-315</c:v>
                </c:pt>
              </c:strCache>
            </c:strRef>
          </c:tx>
          <c:invertIfNegative val="0"/>
          <c:val>
            <c:numRef>
              <c:f>Синтетические!$C$24:$D$24</c:f>
              <c:numCache>
                <c:formatCode>#,##0\ "₽"</c:formatCode>
                <c:ptCount val="2"/>
                <c:pt idx="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8E3-40DE-82AD-8528E4A264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2811904"/>
        <c:axId val="110022656"/>
      </c:barChart>
      <c:catAx>
        <c:axId val="102811904"/>
        <c:scaling>
          <c:orientation val="minMax"/>
        </c:scaling>
        <c:delete val="0"/>
        <c:axPos val="b"/>
        <c:majorTickMark val="out"/>
        <c:minorTickMark val="none"/>
        <c:tickLblPos val="nextTo"/>
        <c:crossAx val="110022656"/>
        <c:crosses val="autoZero"/>
        <c:auto val="1"/>
        <c:lblAlgn val="ctr"/>
        <c:lblOffset val="100"/>
        <c:noMultiLvlLbl val="0"/>
      </c:catAx>
      <c:valAx>
        <c:axId val="11002265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0281190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Синтетические!$A$24:$B$24</c:f>
              <c:strCache>
                <c:ptCount val="1"/>
                <c:pt idx="0">
                  <c:v>DG1315 Greydec 100-315</c:v>
                </c:pt>
              </c:strCache>
            </c:strRef>
          </c:tx>
          <c:invertIfNegative val="0"/>
          <c:val>
            <c:numRef>
              <c:f>Синтетические!$C$24:$D$24</c:f>
              <c:numCache>
                <c:formatCode>#,##0\ "₽"</c:formatCode>
                <c:ptCount val="2"/>
                <c:pt idx="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E8E-4F52-8200-A0838F0DF6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6769408"/>
        <c:axId val="172725376"/>
      </c:barChart>
      <c:catAx>
        <c:axId val="166769408"/>
        <c:scaling>
          <c:orientation val="minMax"/>
        </c:scaling>
        <c:delete val="0"/>
        <c:axPos val="b"/>
        <c:majorTickMark val="out"/>
        <c:minorTickMark val="none"/>
        <c:tickLblPos val="nextTo"/>
        <c:crossAx val="172725376"/>
        <c:crosses val="autoZero"/>
        <c:auto val="1"/>
        <c:lblAlgn val="ctr"/>
        <c:lblOffset val="100"/>
        <c:noMultiLvlLbl val="0"/>
      </c:catAx>
      <c:valAx>
        <c:axId val="17272537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6676940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17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zoomScale="116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hyperlink" Target="https://www.5season.ru/" TargetMode="External"/><Relationship Id="rId5" Type="http://schemas.openxmlformats.org/officeDocument/2006/relationships/image" Target="../media/image3.png"/><Relationship Id="rId4" Type="http://schemas.openxmlformats.org/officeDocument/2006/relationships/hyperlink" Target="https://www.dec-products.ru" TargetMode="External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31.png"/><Relationship Id="rId1" Type="http://schemas.openxmlformats.org/officeDocument/2006/relationships/image" Target="../media/image30.jpeg"/><Relationship Id="rId4" Type="http://schemas.openxmlformats.org/officeDocument/2006/relationships/image" Target="../media/image8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3" Type="http://schemas.openxmlformats.org/officeDocument/2006/relationships/image" Target="../media/image34.png"/><Relationship Id="rId7" Type="http://schemas.openxmlformats.org/officeDocument/2006/relationships/image" Target="../media/image38.png"/><Relationship Id="rId2" Type="http://schemas.openxmlformats.org/officeDocument/2006/relationships/image" Target="../media/image33.png"/><Relationship Id="rId1" Type="http://schemas.openxmlformats.org/officeDocument/2006/relationships/image" Target="../media/image32.png"/><Relationship Id="rId6" Type="http://schemas.openxmlformats.org/officeDocument/2006/relationships/image" Target="../media/image37.jpeg"/><Relationship Id="rId5" Type="http://schemas.openxmlformats.org/officeDocument/2006/relationships/image" Target="../media/image36.jpeg"/><Relationship Id="rId4" Type="http://schemas.openxmlformats.org/officeDocument/2006/relationships/image" Target="../media/image35.png"/><Relationship Id="rId9" Type="http://schemas.openxmlformats.org/officeDocument/2006/relationships/image" Target="../media/image8.png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image" Target="../media/image45.png"/><Relationship Id="rId3" Type="http://schemas.openxmlformats.org/officeDocument/2006/relationships/image" Target="../media/image41.jpeg"/><Relationship Id="rId7" Type="http://schemas.openxmlformats.org/officeDocument/2006/relationships/image" Target="../media/image7.png"/><Relationship Id="rId2" Type="http://schemas.openxmlformats.org/officeDocument/2006/relationships/image" Target="../media/image40.png"/><Relationship Id="rId1" Type="http://schemas.openxmlformats.org/officeDocument/2006/relationships/image" Target="../media/image39.jpeg"/><Relationship Id="rId6" Type="http://schemas.openxmlformats.org/officeDocument/2006/relationships/image" Target="../media/image44.png"/><Relationship Id="rId5" Type="http://schemas.openxmlformats.org/officeDocument/2006/relationships/image" Target="../media/image43.png"/><Relationship Id="rId4" Type="http://schemas.openxmlformats.org/officeDocument/2006/relationships/image" Target="../media/image42.png"/><Relationship Id="rId9" Type="http://schemas.openxmlformats.org/officeDocument/2006/relationships/image" Target="../media/image8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jpeg"/><Relationship Id="rId1" Type="http://schemas.openxmlformats.org/officeDocument/2006/relationships/image" Target="../media/image4.jpeg"/><Relationship Id="rId5" Type="http://schemas.openxmlformats.org/officeDocument/2006/relationships/image" Target="../media/image8.png"/><Relationship Id="rId4" Type="http://schemas.openxmlformats.org/officeDocument/2006/relationships/image" Target="../media/image7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10.jpeg"/><Relationship Id="rId1" Type="http://schemas.openxmlformats.org/officeDocument/2006/relationships/image" Target="../media/image9.png"/><Relationship Id="rId4" Type="http://schemas.openxmlformats.org/officeDocument/2006/relationships/image" Target="../media/image8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2" Type="http://schemas.openxmlformats.org/officeDocument/2006/relationships/image" Target="../media/image12.jpeg"/><Relationship Id="rId1" Type="http://schemas.openxmlformats.org/officeDocument/2006/relationships/image" Target="../media/image11.jpeg"/><Relationship Id="rId5" Type="http://schemas.openxmlformats.org/officeDocument/2006/relationships/image" Target="../media/image8.png"/><Relationship Id="rId4" Type="http://schemas.openxmlformats.org/officeDocument/2006/relationships/image" Target="../media/image7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15.jpeg"/><Relationship Id="rId1" Type="http://schemas.openxmlformats.org/officeDocument/2006/relationships/image" Target="../media/image14.jpeg"/><Relationship Id="rId4" Type="http://schemas.openxmlformats.org/officeDocument/2006/relationships/image" Target="../media/image8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image" Target="../media/image16.jpeg"/><Relationship Id="rId4" Type="http://schemas.openxmlformats.org/officeDocument/2006/relationships/image" Target="../media/image17.jpeg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13" Type="http://schemas.openxmlformats.org/officeDocument/2006/relationships/image" Target="../media/image28.png"/><Relationship Id="rId3" Type="http://schemas.openxmlformats.org/officeDocument/2006/relationships/image" Target="../media/image20.png"/><Relationship Id="rId7" Type="http://schemas.openxmlformats.org/officeDocument/2006/relationships/image" Target="../media/image22.png"/><Relationship Id="rId12" Type="http://schemas.openxmlformats.org/officeDocument/2006/relationships/image" Target="../media/image27.jpeg"/><Relationship Id="rId2" Type="http://schemas.openxmlformats.org/officeDocument/2006/relationships/image" Target="../media/image19.png"/><Relationship Id="rId1" Type="http://schemas.openxmlformats.org/officeDocument/2006/relationships/image" Target="../media/image18.jpeg"/><Relationship Id="rId6" Type="http://schemas.openxmlformats.org/officeDocument/2006/relationships/image" Target="../media/image21.jpeg"/><Relationship Id="rId11" Type="http://schemas.openxmlformats.org/officeDocument/2006/relationships/image" Target="../media/image26.png"/><Relationship Id="rId5" Type="http://schemas.openxmlformats.org/officeDocument/2006/relationships/image" Target="../media/image8.png"/><Relationship Id="rId10" Type="http://schemas.openxmlformats.org/officeDocument/2006/relationships/image" Target="../media/image25.png"/><Relationship Id="rId4" Type="http://schemas.openxmlformats.org/officeDocument/2006/relationships/image" Target="../media/image7.png"/><Relationship Id="rId9" Type="http://schemas.openxmlformats.org/officeDocument/2006/relationships/image" Target="../media/image24.png"/><Relationship Id="rId14" Type="http://schemas.openxmlformats.org/officeDocument/2006/relationships/image" Target="../media/image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1146055</xdr:colOff>
      <xdr:row>4</xdr:row>
      <xdr:rowOff>129288</xdr:rowOff>
    </xdr:to>
    <xdr:pic>
      <xdr:nvPicPr>
        <xdr:cNvPr id="5" name="Рисунок 4" descr="C:\Users\danshin.5SEASON\Desktop\5season_new_logo_rus [Converted].png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0"/>
          <a:ext cx="3241555" cy="10309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434975</xdr:colOff>
      <xdr:row>0</xdr:row>
      <xdr:rowOff>66675</xdr:rowOff>
    </xdr:from>
    <xdr:to>
      <xdr:col>4</xdr:col>
      <xdr:colOff>1006475</xdr:colOff>
      <xdr:row>2</xdr:row>
      <xdr:rowOff>123825</xdr:rowOff>
    </xdr:to>
    <xdr:pic>
      <xdr:nvPicPr>
        <xdr:cNvPr id="7" name="Picture 1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448175" y="66675"/>
          <a:ext cx="2374900" cy="4127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6</xdr:col>
      <xdr:colOff>371475</xdr:colOff>
      <xdr:row>0</xdr:row>
      <xdr:rowOff>19050</xdr:rowOff>
    </xdr:from>
    <xdr:to>
      <xdr:col>6</xdr:col>
      <xdr:colOff>1354741</xdr:colOff>
      <xdr:row>5</xdr:row>
      <xdr:rowOff>259588</xdr:rowOff>
    </xdr:to>
    <xdr:pic>
      <xdr:nvPicPr>
        <xdr:cNvPr id="8" name="Рисунок 7" descr="C:\Users\danshin.5SEASON\Desktop\logo.png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8658225" y="19050"/>
          <a:ext cx="983266" cy="14660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180976</xdr:colOff>
      <xdr:row>5</xdr:row>
      <xdr:rowOff>19050</xdr:rowOff>
    </xdr:from>
    <xdr:to>
      <xdr:col>7</xdr:col>
      <xdr:colOff>1323975</xdr:colOff>
      <xdr:row>5</xdr:row>
      <xdr:rowOff>990010</xdr:rowOff>
    </xdr:to>
    <xdr:pic>
      <xdr:nvPicPr>
        <xdr:cNvPr id="2049" name="Picture 1">
          <a:extLst>
            <a:ext uri="{FF2B5EF4-FFF2-40B4-BE49-F238E27FC236}">
              <a16:creationId xmlns="" xmlns:a16="http://schemas.microsoft.com/office/drawing/2014/main" id="{00000000-0008-0000-0A00-00000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848851" y="1495425"/>
          <a:ext cx="1142999" cy="97096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7</xdr:col>
      <xdr:colOff>180975</xdr:colOff>
      <xdr:row>14</xdr:row>
      <xdr:rowOff>9526</xdr:rowOff>
    </xdr:from>
    <xdr:to>
      <xdr:col>7</xdr:col>
      <xdr:colOff>1276350</xdr:colOff>
      <xdr:row>14</xdr:row>
      <xdr:rowOff>963866</xdr:rowOff>
    </xdr:to>
    <xdr:pic>
      <xdr:nvPicPr>
        <xdr:cNvPr id="2051" name="Picture 3">
          <a:extLst>
            <a:ext uri="{FF2B5EF4-FFF2-40B4-BE49-F238E27FC236}">
              <a16:creationId xmlns="" xmlns:a16="http://schemas.microsoft.com/office/drawing/2014/main" id="{00000000-0008-0000-0A00-00000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848850" y="4124326"/>
          <a:ext cx="1095375" cy="95434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318897</xdr:colOff>
      <xdr:row>5</xdr:row>
      <xdr:rowOff>0</xdr:rowOff>
    </xdr:to>
    <xdr:pic>
      <xdr:nvPicPr>
        <xdr:cNvPr id="4" name="Рисунок 3" descr="C:\Users\danshin.5SEASON\Desktop\logo.png">
          <a:extLst>
            <a:ext uri="{FF2B5EF4-FFF2-40B4-BE49-F238E27FC236}">
              <a16:creationId xmlns="" xmlns:a16="http://schemas.microsoft.com/office/drawing/2014/main" id="{00000000-0008-0000-0A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628650"/>
          <a:ext cx="318897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123825</xdr:colOff>
      <xdr:row>3</xdr:row>
      <xdr:rowOff>28575</xdr:rowOff>
    </xdr:from>
    <xdr:to>
      <xdr:col>7</xdr:col>
      <xdr:colOff>1334005</xdr:colOff>
      <xdr:row>4</xdr:row>
      <xdr:rowOff>171450</xdr:rowOff>
    </xdr:to>
    <xdr:pic>
      <xdr:nvPicPr>
        <xdr:cNvPr id="5" name="Рисунок 4" descr="C:\Users\danshin.5SEASON\Desktop\5season_new_logo_rus [Converted].png">
          <a:extLst>
            <a:ext uri="{FF2B5EF4-FFF2-40B4-BE49-F238E27FC236}">
              <a16:creationId xmlns="" xmlns:a16="http://schemas.microsoft.com/office/drawing/2014/main" id="{00000000-0008-0000-0A00-000005000000}"/>
            </a:ext>
          </a:extLst>
        </xdr:cNvPr>
        <xdr:cNvPicPr/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791700" y="1028700"/>
          <a:ext cx="121018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104776</xdr:colOff>
      <xdr:row>5</xdr:row>
      <xdr:rowOff>85725</xdr:rowOff>
    </xdr:from>
    <xdr:to>
      <xdr:col>8</xdr:col>
      <xdr:colOff>31223</xdr:colOff>
      <xdr:row>5</xdr:row>
      <xdr:rowOff>857250</xdr:rowOff>
    </xdr:to>
    <xdr:pic>
      <xdr:nvPicPr>
        <xdr:cNvPr id="3076" name="Picture 4">
          <a:extLst>
            <a:ext uri="{FF2B5EF4-FFF2-40B4-BE49-F238E27FC236}">
              <a16:creationId xmlns="" xmlns:a16="http://schemas.microsoft.com/office/drawing/2014/main" id="{00000000-0008-0000-0B00-00000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772651" y="1562100"/>
          <a:ext cx="1307572" cy="7715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7</xdr:col>
      <xdr:colOff>342900</xdr:colOff>
      <xdr:row>9</xdr:row>
      <xdr:rowOff>47626</xdr:rowOff>
    </xdr:from>
    <xdr:to>
      <xdr:col>7</xdr:col>
      <xdr:colOff>1304925</xdr:colOff>
      <xdr:row>9</xdr:row>
      <xdr:rowOff>962026</xdr:rowOff>
    </xdr:to>
    <xdr:pic>
      <xdr:nvPicPr>
        <xdr:cNvPr id="3077" name="Picture 5">
          <a:extLst>
            <a:ext uri="{FF2B5EF4-FFF2-40B4-BE49-F238E27FC236}">
              <a16:creationId xmlns="" xmlns:a16="http://schemas.microsoft.com/office/drawing/2014/main" id="{00000000-0008-0000-0B00-00000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010775" y="3162301"/>
          <a:ext cx="962025" cy="914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7</xdr:col>
      <xdr:colOff>374755</xdr:colOff>
      <xdr:row>12</xdr:row>
      <xdr:rowOff>0</xdr:rowOff>
    </xdr:from>
    <xdr:to>
      <xdr:col>8</xdr:col>
      <xdr:colOff>28575</xdr:colOff>
      <xdr:row>13</xdr:row>
      <xdr:rowOff>692336</xdr:rowOff>
    </xdr:to>
    <xdr:pic>
      <xdr:nvPicPr>
        <xdr:cNvPr id="3078" name="Picture 6">
          <a:extLst>
            <a:ext uri="{FF2B5EF4-FFF2-40B4-BE49-F238E27FC236}">
              <a16:creationId xmlns="" xmlns:a16="http://schemas.microsoft.com/office/drawing/2014/main" id="{00000000-0008-0000-0B00-00000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042630" y="4810125"/>
          <a:ext cx="1034945" cy="92392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7</xdr:col>
      <xdr:colOff>79099</xdr:colOff>
      <xdr:row>12</xdr:row>
      <xdr:rowOff>235640</xdr:rowOff>
    </xdr:from>
    <xdr:to>
      <xdr:col>8</xdr:col>
      <xdr:colOff>32045</xdr:colOff>
      <xdr:row>13</xdr:row>
      <xdr:rowOff>948082</xdr:rowOff>
    </xdr:to>
    <xdr:pic>
      <xdr:nvPicPr>
        <xdr:cNvPr id="3079" name="Picture 7">
          <a:extLst>
            <a:ext uri="{FF2B5EF4-FFF2-40B4-BE49-F238E27FC236}">
              <a16:creationId xmlns="" xmlns:a16="http://schemas.microsoft.com/office/drawing/2014/main" id="{00000000-0008-0000-0B00-00000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746974" y="8589065"/>
          <a:ext cx="1334071" cy="94421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7</xdr:col>
      <xdr:colOff>322169</xdr:colOff>
      <xdr:row>40</xdr:row>
      <xdr:rowOff>38100</xdr:rowOff>
    </xdr:from>
    <xdr:to>
      <xdr:col>8</xdr:col>
      <xdr:colOff>28014</xdr:colOff>
      <xdr:row>41</xdr:row>
      <xdr:rowOff>11207</xdr:rowOff>
    </xdr:to>
    <xdr:pic>
      <xdr:nvPicPr>
        <xdr:cNvPr id="3080" name="Picture 8">
          <a:extLst>
            <a:ext uri="{FF2B5EF4-FFF2-40B4-BE49-F238E27FC236}">
              <a16:creationId xmlns="" xmlns:a16="http://schemas.microsoft.com/office/drawing/2014/main" id="{00000000-0008-0000-0B00-00000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9990044" y="14868525"/>
          <a:ext cx="1086970" cy="96370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7</xdr:col>
      <xdr:colOff>114299</xdr:colOff>
      <xdr:row>47</xdr:row>
      <xdr:rowOff>66675</xdr:rowOff>
    </xdr:from>
    <xdr:to>
      <xdr:col>7</xdr:col>
      <xdr:colOff>1381124</xdr:colOff>
      <xdr:row>48</xdr:row>
      <xdr:rowOff>38100</xdr:rowOff>
    </xdr:to>
    <xdr:pic>
      <xdr:nvPicPr>
        <xdr:cNvPr id="1025" name="Picture 1">
          <a:extLst>
            <a:ext uri="{FF2B5EF4-FFF2-40B4-BE49-F238E27FC236}">
              <a16:creationId xmlns="" xmlns:a16="http://schemas.microsoft.com/office/drawing/2014/main" id="{00000000-0008-0000-0B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9782174" y="17135475"/>
          <a:ext cx="1266825" cy="9620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7</xdr:col>
      <xdr:colOff>514792</xdr:colOff>
      <xdr:row>51</xdr:row>
      <xdr:rowOff>57150</xdr:rowOff>
    </xdr:from>
    <xdr:to>
      <xdr:col>7</xdr:col>
      <xdr:colOff>1028700</xdr:colOff>
      <xdr:row>51</xdr:row>
      <xdr:rowOff>923925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10182667" y="18764250"/>
          <a:ext cx="513908" cy="8667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318897</xdr:colOff>
      <xdr:row>5</xdr:row>
      <xdr:rowOff>0</xdr:rowOff>
    </xdr:to>
    <xdr:pic>
      <xdr:nvPicPr>
        <xdr:cNvPr id="10" name="Рисунок 9" descr="C:\Users\danshin.5SEASON\Desktop\logo.png">
          <a:extLst>
            <a:ext uri="{FF2B5EF4-FFF2-40B4-BE49-F238E27FC236}">
              <a16:creationId xmlns="" xmlns:a16="http://schemas.microsoft.com/office/drawing/2014/main" id="{00000000-0008-0000-0B00-00000A000000}"/>
            </a:ext>
          </a:extLst>
        </xdr:cNvPr>
        <xdr:cNvPicPr/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0" y="628650"/>
          <a:ext cx="318897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133350</xdr:colOff>
      <xdr:row>3</xdr:row>
      <xdr:rowOff>38100</xdr:rowOff>
    </xdr:from>
    <xdr:to>
      <xdr:col>7</xdr:col>
      <xdr:colOff>1343530</xdr:colOff>
      <xdr:row>4</xdr:row>
      <xdr:rowOff>180975</xdr:rowOff>
    </xdr:to>
    <xdr:pic>
      <xdr:nvPicPr>
        <xdr:cNvPr id="11" name="Рисунок 10" descr="C:\Users\danshin.5SEASON\Desktop\5season_new_logo_rus [Converted].png">
          <a:extLst>
            <a:ext uri="{FF2B5EF4-FFF2-40B4-BE49-F238E27FC236}">
              <a16:creationId xmlns="" xmlns:a16="http://schemas.microsoft.com/office/drawing/2014/main" id="{00000000-0008-0000-0B00-00000B000000}"/>
            </a:ext>
          </a:extLst>
        </xdr:cNvPr>
        <xdr:cNvPicPr/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9801225" y="1038225"/>
          <a:ext cx="121018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47626</xdr:colOff>
      <xdr:row>5</xdr:row>
      <xdr:rowOff>57150</xdr:rowOff>
    </xdr:from>
    <xdr:to>
      <xdr:col>7</xdr:col>
      <xdr:colOff>1365182</xdr:colOff>
      <xdr:row>5</xdr:row>
      <xdr:rowOff>933450</xdr:rowOff>
    </xdr:to>
    <xdr:pic>
      <xdr:nvPicPr>
        <xdr:cNvPr id="1025" name="Picture 1">
          <a:extLst>
            <a:ext uri="{FF2B5EF4-FFF2-40B4-BE49-F238E27FC236}">
              <a16:creationId xmlns="" xmlns:a16="http://schemas.microsoft.com/office/drawing/2014/main" id="{00000000-0008-0000-0C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715501" y="1533525"/>
          <a:ext cx="1317556" cy="8763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7</xdr:col>
      <xdr:colOff>191233</xdr:colOff>
      <xdr:row>11</xdr:row>
      <xdr:rowOff>29860</xdr:rowOff>
    </xdr:from>
    <xdr:to>
      <xdr:col>7</xdr:col>
      <xdr:colOff>1295400</xdr:colOff>
      <xdr:row>11</xdr:row>
      <xdr:rowOff>942976</xdr:rowOff>
    </xdr:to>
    <xdr:pic>
      <xdr:nvPicPr>
        <xdr:cNvPr id="1026" name="Picture 2">
          <a:extLst>
            <a:ext uri="{FF2B5EF4-FFF2-40B4-BE49-F238E27FC236}">
              <a16:creationId xmlns="" xmlns:a16="http://schemas.microsoft.com/office/drawing/2014/main" id="{00000000-0008-0000-0C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859108" y="3544585"/>
          <a:ext cx="1104167" cy="91311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7</xdr:col>
      <xdr:colOff>114301</xdr:colOff>
      <xdr:row>16</xdr:row>
      <xdr:rowOff>28576</xdr:rowOff>
    </xdr:from>
    <xdr:to>
      <xdr:col>7</xdr:col>
      <xdr:colOff>1276350</xdr:colOff>
      <xdr:row>16</xdr:row>
      <xdr:rowOff>952500</xdr:rowOff>
    </xdr:to>
    <xdr:pic>
      <xdr:nvPicPr>
        <xdr:cNvPr id="1027" name="Picture 3">
          <a:extLst>
            <a:ext uri="{FF2B5EF4-FFF2-40B4-BE49-F238E27FC236}">
              <a16:creationId xmlns="" xmlns:a16="http://schemas.microsoft.com/office/drawing/2014/main" id="{00000000-0008-0000-0C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9782176" y="5381626"/>
          <a:ext cx="1162049" cy="92392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7</xdr:col>
      <xdr:colOff>114301</xdr:colOff>
      <xdr:row>21</xdr:row>
      <xdr:rowOff>47625</xdr:rowOff>
    </xdr:from>
    <xdr:to>
      <xdr:col>7</xdr:col>
      <xdr:colOff>1314451</xdr:colOff>
      <xdr:row>21</xdr:row>
      <xdr:rowOff>842704</xdr:rowOff>
    </xdr:to>
    <xdr:pic>
      <xdr:nvPicPr>
        <xdr:cNvPr id="1028" name="Picture 4">
          <a:extLst>
            <a:ext uri="{FF2B5EF4-FFF2-40B4-BE49-F238E27FC236}">
              <a16:creationId xmlns="" xmlns:a16="http://schemas.microsoft.com/office/drawing/2014/main" id="{00000000-0008-0000-0C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782176" y="7239000"/>
          <a:ext cx="1200150" cy="79507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7</xdr:col>
      <xdr:colOff>238125</xdr:colOff>
      <xdr:row>27</xdr:row>
      <xdr:rowOff>76200</xdr:rowOff>
    </xdr:from>
    <xdr:to>
      <xdr:col>7</xdr:col>
      <xdr:colOff>1257300</xdr:colOff>
      <xdr:row>27</xdr:row>
      <xdr:rowOff>973660</xdr:rowOff>
    </xdr:to>
    <xdr:pic>
      <xdr:nvPicPr>
        <xdr:cNvPr id="1029" name="Picture 5">
          <a:extLst>
            <a:ext uri="{FF2B5EF4-FFF2-40B4-BE49-F238E27FC236}">
              <a16:creationId xmlns="" xmlns:a16="http://schemas.microsoft.com/office/drawing/2014/main" id="{00000000-0008-0000-0C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9906000" y="9305925"/>
          <a:ext cx="1019175" cy="89746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7</xdr:col>
      <xdr:colOff>153314</xdr:colOff>
      <xdr:row>37</xdr:row>
      <xdr:rowOff>16565</xdr:rowOff>
    </xdr:from>
    <xdr:to>
      <xdr:col>7</xdr:col>
      <xdr:colOff>1370358</xdr:colOff>
      <xdr:row>38</xdr:row>
      <xdr:rowOff>1380</xdr:rowOff>
    </xdr:to>
    <xdr:pic>
      <xdr:nvPicPr>
        <xdr:cNvPr id="1032" name="Picture 8">
          <a:extLst>
            <a:ext uri="{FF2B5EF4-FFF2-40B4-BE49-F238E27FC236}">
              <a16:creationId xmlns="" xmlns:a16="http://schemas.microsoft.com/office/drawing/2014/main" id="{00000000-0008-0000-0C00-00000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9821189" y="15361340"/>
          <a:ext cx="1217044" cy="97541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318897</xdr:colOff>
      <xdr:row>5</xdr:row>
      <xdr:rowOff>0</xdr:rowOff>
    </xdr:to>
    <xdr:pic>
      <xdr:nvPicPr>
        <xdr:cNvPr id="10" name="Рисунок 9" descr="C:\Users\danshin.5SEASON\Desktop\logo.png">
          <a:extLst>
            <a:ext uri="{FF2B5EF4-FFF2-40B4-BE49-F238E27FC236}">
              <a16:creationId xmlns="" xmlns:a16="http://schemas.microsoft.com/office/drawing/2014/main" id="{00000000-0008-0000-0C00-00000A000000}"/>
            </a:ext>
          </a:extLst>
        </xdr:cNvPr>
        <xdr:cNvPicPr/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0" y="628650"/>
          <a:ext cx="318897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28575</xdr:colOff>
      <xdr:row>41</xdr:row>
      <xdr:rowOff>28575</xdr:rowOff>
    </xdr:from>
    <xdr:to>
      <xdr:col>7</xdr:col>
      <xdr:colOff>1363806</xdr:colOff>
      <xdr:row>41</xdr:row>
      <xdr:rowOff>942975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9696450" y="17011650"/>
          <a:ext cx="1335231" cy="914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7</xdr:col>
      <xdr:colOff>152400</xdr:colOff>
      <xdr:row>3</xdr:row>
      <xdr:rowOff>28575</xdr:rowOff>
    </xdr:from>
    <xdr:to>
      <xdr:col>7</xdr:col>
      <xdr:colOff>1362580</xdr:colOff>
      <xdr:row>4</xdr:row>
      <xdr:rowOff>171450</xdr:rowOff>
    </xdr:to>
    <xdr:pic>
      <xdr:nvPicPr>
        <xdr:cNvPr id="12" name="Рисунок 11" descr="C:\Users\danshin.5SEASON\Desktop\5season_new_logo_rus [Converted].png">
          <a:extLst>
            <a:ext uri="{FF2B5EF4-FFF2-40B4-BE49-F238E27FC236}">
              <a16:creationId xmlns="" xmlns:a16="http://schemas.microsoft.com/office/drawing/2014/main" id="{00000000-0008-0000-0C00-00000C000000}"/>
            </a:ext>
          </a:extLst>
        </xdr:cNvPr>
        <xdr:cNvPicPr/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9820275" y="1028700"/>
          <a:ext cx="121018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59056</xdr:colOff>
      <xdr:row>14</xdr:row>
      <xdr:rowOff>179070</xdr:rowOff>
    </xdr:from>
    <xdr:to>
      <xdr:col>7</xdr:col>
      <xdr:colOff>1281698</xdr:colOff>
      <xdr:row>14</xdr:row>
      <xdr:rowOff>950594</xdr:rowOff>
    </xdr:to>
    <xdr:pic>
      <xdr:nvPicPr>
        <xdr:cNvPr id="2052" name="Picture 4">
          <a:extLst>
            <a:ext uri="{FF2B5EF4-FFF2-40B4-BE49-F238E27FC236}">
              <a16:creationId xmlns="" xmlns:a16="http://schemas.microsoft.com/office/drawing/2014/main" id="{00000000-0008-0000-0100-00000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033636" y="4827270"/>
          <a:ext cx="1222642" cy="77152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6</xdr:col>
      <xdr:colOff>1398270</xdr:colOff>
      <xdr:row>28</xdr:row>
      <xdr:rowOff>135256</xdr:rowOff>
    </xdr:from>
    <xdr:to>
      <xdr:col>7</xdr:col>
      <xdr:colOff>1226130</xdr:colOff>
      <xdr:row>28</xdr:row>
      <xdr:rowOff>905656</xdr:rowOff>
    </xdr:to>
    <xdr:pic>
      <xdr:nvPicPr>
        <xdr:cNvPr id="2055" name="Picture 7">
          <a:extLst>
            <a:ext uri="{FF2B5EF4-FFF2-40B4-BE49-F238E27FC236}">
              <a16:creationId xmlns="" xmlns:a16="http://schemas.microsoft.com/office/drawing/2014/main" id="{00000000-0008-0000-0100-00000708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947910" y="8357236"/>
          <a:ext cx="1252800" cy="770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6</xdr:col>
      <xdr:colOff>913862</xdr:colOff>
      <xdr:row>41</xdr:row>
      <xdr:rowOff>123824</xdr:rowOff>
    </xdr:from>
    <xdr:to>
      <xdr:col>7</xdr:col>
      <xdr:colOff>1221837</xdr:colOff>
      <xdr:row>47</xdr:row>
      <xdr:rowOff>116204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63502" y="10921364"/>
          <a:ext cx="1732915" cy="1219200"/>
        </a:xfrm>
        <a:prstGeom prst="rect">
          <a:avLst/>
        </a:prstGeom>
      </xdr:spPr>
    </xdr:pic>
    <xdr:clientData/>
  </xdr:twoCellAnchor>
  <xdr:oneCellAnchor>
    <xdr:from>
      <xdr:col>7</xdr:col>
      <xdr:colOff>104776</xdr:colOff>
      <xdr:row>5</xdr:row>
      <xdr:rowOff>57150</xdr:rowOff>
    </xdr:from>
    <xdr:ext cx="1222642" cy="771524"/>
    <xdr:pic>
      <xdr:nvPicPr>
        <xdr:cNvPr id="10" name="Picture 4">
          <a:extLst>
            <a:ext uri="{FF2B5EF4-FFF2-40B4-BE49-F238E27FC236}">
              <a16:creationId xmlns="" xmlns:a16="http://schemas.microsoft.com/office/drawing/2014/main" id="{00000000-0008-0000-0100-00000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079356" y="5734050"/>
          <a:ext cx="1222642" cy="77152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0</xdr:colOff>
      <xdr:row>3</xdr:row>
      <xdr:rowOff>0</xdr:rowOff>
    </xdr:from>
    <xdr:ext cx="318897" cy="472440"/>
    <xdr:pic>
      <xdr:nvPicPr>
        <xdr:cNvPr id="11" name="Рисунок 10" descr="C:\Users\danshin.5SEASON\Desktop\logo.png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PicPr/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0" y="4457700"/>
          <a:ext cx="318897" cy="472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142875</xdr:colOff>
      <xdr:row>3</xdr:row>
      <xdr:rowOff>19050</xdr:rowOff>
    </xdr:from>
    <xdr:ext cx="1210180" cy="379095"/>
    <xdr:pic>
      <xdr:nvPicPr>
        <xdr:cNvPr id="12" name="Рисунок 11" descr="C:\Users\danshin.5SEASON\Desktop\5season_new_logo_rus [Converted].png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0117455" y="4476750"/>
          <a:ext cx="1210180" cy="3790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309199" cy="6079629"/>
    <xdr:graphicFrame macro="">
      <xdr:nvGraphicFramePr>
        <xdr:cNvPr id="2" name="Диаграмма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9309199" cy="6079629"/>
    <xdr:graphicFrame macro="">
      <xdr:nvGraphicFramePr>
        <xdr:cNvPr id="2" name="Диаграмма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130642</xdr:colOff>
      <xdr:row>5</xdr:row>
      <xdr:rowOff>47625</xdr:rowOff>
    </xdr:from>
    <xdr:to>
      <xdr:col>7</xdr:col>
      <xdr:colOff>1333499</xdr:colOff>
      <xdr:row>5</xdr:row>
      <xdr:rowOff>904875</xdr:rowOff>
    </xdr:to>
    <xdr:pic>
      <xdr:nvPicPr>
        <xdr:cNvPr id="1025" name="Picture 1">
          <a:extLst>
            <a:ext uri="{FF2B5EF4-FFF2-40B4-BE49-F238E27FC236}">
              <a16:creationId xmlns="" xmlns:a16="http://schemas.microsoft.com/office/drawing/2014/main" id="{00000000-0008-0000-04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798517" y="1190625"/>
          <a:ext cx="1202857" cy="857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7</xdr:col>
      <xdr:colOff>63745</xdr:colOff>
      <xdr:row>16</xdr:row>
      <xdr:rowOff>85725</xdr:rowOff>
    </xdr:from>
    <xdr:to>
      <xdr:col>7</xdr:col>
      <xdr:colOff>1295401</xdr:colOff>
      <xdr:row>16</xdr:row>
      <xdr:rowOff>938906</xdr:rowOff>
    </xdr:to>
    <xdr:pic>
      <xdr:nvPicPr>
        <xdr:cNvPr id="1026" name="Picture 2">
          <a:extLst>
            <a:ext uri="{FF2B5EF4-FFF2-40B4-BE49-F238E27FC236}">
              <a16:creationId xmlns="" xmlns:a16="http://schemas.microsoft.com/office/drawing/2014/main" id="{00000000-0008-0000-04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731620" y="4267200"/>
          <a:ext cx="1231656" cy="85318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3</xdr:row>
      <xdr:rowOff>9525</xdr:rowOff>
    </xdr:from>
    <xdr:to>
      <xdr:col>0</xdr:col>
      <xdr:colOff>347472</xdr:colOff>
      <xdr:row>5</xdr:row>
      <xdr:rowOff>9525</xdr:rowOff>
    </xdr:to>
    <xdr:pic>
      <xdr:nvPicPr>
        <xdr:cNvPr id="6" name="Рисунок 5" descr="C:\Users\danshin.5SEASON\Desktop\logo.png">
          <a:extLst>
            <a:ext uri="{FF2B5EF4-FFF2-40B4-BE49-F238E27FC236}">
              <a16:creationId xmlns="" xmlns:a16="http://schemas.microsoft.com/office/drawing/2014/main" id="{00000000-0008-0000-0400-000006000000}"/>
            </a:ext>
          </a:extLst>
        </xdr:cNvPr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8575" y="676275"/>
          <a:ext cx="318897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114300</xdr:colOff>
      <xdr:row>3</xdr:row>
      <xdr:rowOff>38100</xdr:rowOff>
    </xdr:from>
    <xdr:to>
      <xdr:col>7</xdr:col>
      <xdr:colOff>1324480</xdr:colOff>
      <xdr:row>4</xdr:row>
      <xdr:rowOff>180975</xdr:rowOff>
    </xdr:to>
    <xdr:pic>
      <xdr:nvPicPr>
        <xdr:cNvPr id="5" name="Рисунок 4" descr="C:\Users\danshin.5SEASON\Desktop\5season_new_logo_rus [Converted].png">
          <a:extLst>
            <a:ext uri="{FF2B5EF4-FFF2-40B4-BE49-F238E27FC236}">
              <a16:creationId xmlns="" xmlns:a16="http://schemas.microsoft.com/office/drawing/2014/main" id="{00000000-0008-0000-0400-000005000000}"/>
            </a:ext>
          </a:extLst>
        </xdr:cNvPr>
        <xdr:cNvPicPr/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782175" y="704850"/>
          <a:ext cx="121018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9525</xdr:colOff>
      <xdr:row>5</xdr:row>
      <xdr:rowOff>66675</xdr:rowOff>
    </xdr:from>
    <xdr:to>
      <xdr:col>7</xdr:col>
      <xdr:colOff>1343025</xdr:colOff>
      <xdr:row>6</xdr:row>
      <xdr:rowOff>7012</xdr:rowOff>
    </xdr:to>
    <xdr:pic>
      <xdr:nvPicPr>
        <xdr:cNvPr id="2050" name="Picture 2">
          <a:extLst>
            <a:ext uri="{FF2B5EF4-FFF2-40B4-BE49-F238E27FC236}">
              <a16:creationId xmlns="" xmlns:a16="http://schemas.microsoft.com/office/drawing/2014/main" id="{00000000-0008-0000-0500-00000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677400" y="1219200"/>
          <a:ext cx="1333500" cy="930937"/>
        </a:xfrm>
        <a:prstGeom prst="rect">
          <a:avLst/>
        </a:prstGeom>
        <a:solidFill>
          <a:schemeClr val="bg1"/>
        </a:solidFill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7</xdr:col>
      <xdr:colOff>17160</xdr:colOff>
      <xdr:row>19</xdr:row>
      <xdr:rowOff>76200</xdr:rowOff>
    </xdr:from>
    <xdr:to>
      <xdr:col>7</xdr:col>
      <xdr:colOff>1333500</xdr:colOff>
      <xdr:row>19</xdr:row>
      <xdr:rowOff>981075</xdr:rowOff>
    </xdr:to>
    <xdr:pic>
      <xdr:nvPicPr>
        <xdr:cNvPr id="1026" name="Picture 2">
          <a:extLst>
            <a:ext uri="{FF2B5EF4-FFF2-40B4-BE49-F238E27FC236}">
              <a16:creationId xmlns="" xmlns:a16="http://schemas.microsoft.com/office/drawing/2014/main" id="{00000000-0008-0000-05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685035" y="4867275"/>
          <a:ext cx="1316340" cy="904875"/>
        </a:xfrm>
        <a:prstGeom prst="rect">
          <a:avLst/>
        </a:prstGeom>
        <a:solidFill>
          <a:schemeClr val="bg1"/>
        </a:solidFill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7</xdr:col>
      <xdr:colOff>47625</xdr:colOff>
      <xdr:row>34</xdr:row>
      <xdr:rowOff>57151</xdr:rowOff>
    </xdr:from>
    <xdr:to>
      <xdr:col>7</xdr:col>
      <xdr:colOff>1371598</xdr:colOff>
      <xdr:row>34</xdr:row>
      <xdr:rowOff>799887</xdr:rowOff>
    </xdr:to>
    <xdr:pic>
      <xdr:nvPicPr>
        <xdr:cNvPr id="1027" name="Picture 3">
          <a:extLst>
            <a:ext uri="{FF2B5EF4-FFF2-40B4-BE49-F238E27FC236}">
              <a16:creationId xmlns="" xmlns:a16="http://schemas.microsoft.com/office/drawing/2014/main" id="{00000000-0008-0000-05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9715500" y="8886826"/>
          <a:ext cx="1323973" cy="74273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318897</xdr:colOff>
      <xdr:row>5</xdr:row>
      <xdr:rowOff>0</xdr:rowOff>
    </xdr:to>
    <xdr:pic>
      <xdr:nvPicPr>
        <xdr:cNvPr id="5" name="Рисунок 4" descr="C:\Users\danshin.5SEASON\Desktop\logo.png">
          <a:extLst>
            <a:ext uri="{FF2B5EF4-FFF2-40B4-BE49-F238E27FC236}">
              <a16:creationId xmlns="" xmlns:a16="http://schemas.microsoft.com/office/drawing/2014/main" id="{00000000-0008-0000-0500-000005000000}"/>
            </a:ext>
          </a:extLst>
        </xdr:cNvPr>
        <xdr:cNvPicPr/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0" y="628650"/>
          <a:ext cx="318897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133350</xdr:colOff>
      <xdr:row>3</xdr:row>
      <xdr:rowOff>57150</xdr:rowOff>
    </xdr:from>
    <xdr:to>
      <xdr:col>7</xdr:col>
      <xdr:colOff>1343530</xdr:colOff>
      <xdr:row>4</xdr:row>
      <xdr:rowOff>200025</xdr:rowOff>
    </xdr:to>
    <xdr:pic>
      <xdr:nvPicPr>
        <xdr:cNvPr id="6" name="Рисунок 5" descr="C:\Users\danshin.5SEASON\Desktop\5season_new_logo_rus [Converted].png">
          <a:extLst>
            <a:ext uri="{FF2B5EF4-FFF2-40B4-BE49-F238E27FC236}">
              <a16:creationId xmlns="" xmlns:a16="http://schemas.microsoft.com/office/drawing/2014/main" id="{00000000-0008-0000-0500-000006000000}"/>
            </a:ext>
          </a:extLst>
        </xdr:cNvPr>
        <xdr:cNvPicPr/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9801225" y="733425"/>
          <a:ext cx="121018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28575</xdr:colOff>
      <xdr:row>5</xdr:row>
      <xdr:rowOff>19050</xdr:rowOff>
    </xdr:from>
    <xdr:to>
      <xdr:col>7</xdr:col>
      <xdr:colOff>1352074</xdr:colOff>
      <xdr:row>5</xdr:row>
      <xdr:rowOff>952500</xdr:rowOff>
    </xdr:to>
    <xdr:pic>
      <xdr:nvPicPr>
        <xdr:cNvPr id="2051" name="Picture 3">
          <a:extLst>
            <a:ext uri="{FF2B5EF4-FFF2-40B4-BE49-F238E27FC236}">
              <a16:creationId xmlns="" xmlns:a16="http://schemas.microsoft.com/office/drawing/2014/main" id="{00000000-0008-0000-0600-00000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696450" y="1495425"/>
          <a:ext cx="1323499" cy="933450"/>
        </a:xfrm>
        <a:prstGeom prst="rect">
          <a:avLst/>
        </a:prstGeom>
        <a:solidFill>
          <a:schemeClr val="bg1"/>
        </a:solidFill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7</xdr:col>
      <xdr:colOff>0</xdr:colOff>
      <xdr:row>14</xdr:row>
      <xdr:rowOff>38098</xdr:rowOff>
    </xdr:from>
    <xdr:to>
      <xdr:col>7</xdr:col>
      <xdr:colOff>1343025</xdr:colOff>
      <xdr:row>14</xdr:row>
      <xdr:rowOff>908932</xdr:rowOff>
    </xdr:to>
    <xdr:pic>
      <xdr:nvPicPr>
        <xdr:cNvPr id="2052" name="Picture 4">
          <a:extLst>
            <a:ext uri="{FF2B5EF4-FFF2-40B4-BE49-F238E27FC236}">
              <a16:creationId xmlns="" xmlns:a16="http://schemas.microsoft.com/office/drawing/2014/main" id="{00000000-0008-0000-0600-00000408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 bwMode="auto">
        <a:xfrm>
          <a:off x="9667875" y="3905248"/>
          <a:ext cx="1343025" cy="87083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47625</xdr:colOff>
      <xdr:row>3</xdr:row>
      <xdr:rowOff>0</xdr:rowOff>
    </xdr:from>
    <xdr:to>
      <xdr:col>0</xdr:col>
      <xdr:colOff>366522</xdr:colOff>
      <xdr:row>5</xdr:row>
      <xdr:rowOff>0</xdr:rowOff>
    </xdr:to>
    <xdr:pic>
      <xdr:nvPicPr>
        <xdr:cNvPr id="4" name="Рисунок 3" descr="C:\Users\danshin.5SEASON\Desktop\logo.png">
          <a:extLst>
            <a:ext uri="{FF2B5EF4-FFF2-40B4-BE49-F238E27FC236}">
              <a16:creationId xmlns="" xmlns:a16="http://schemas.microsoft.com/office/drawing/2014/main" id="{00000000-0008-0000-06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000125"/>
          <a:ext cx="318897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104775</xdr:colOff>
      <xdr:row>3</xdr:row>
      <xdr:rowOff>66675</xdr:rowOff>
    </xdr:from>
    <xdr:to>
      <xdr:col>7</xdr:col>
      <xdr:colOff>1314955</xdr:colOff>
      <xdr:row>4</xdr:row>
      <xdr:rowOff>209550</xdr:rowOff>
    </xdr:to>
    <xdr:pic>
      <xdr:nvPicPr>
        <xdr:cNvPr id="5" name="Рисунок 4" descr="C:\Users\danshin.5SEASON\Desktop\5season_new_logo_rus [Converted].png">
          <a:extLst>
            <a:ext uri="{FF2B5EF4-FFF2-40B4-BE49-F238E27FC236}">
              <a16:creationId xmlns="" xmlns:a16="http://schemas.microsoft.com/office/drawing/2014/main" id="{00000000-0008-0000-0600-000005000000}"/>
            </a:ext>
          </a:extLst>
        </xdr:cNvPr>
        <xdr:cNvPicPr/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772650" y="1066800"/>
          <a:ext cx="121018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1371600</xdr:colOff>
      <xdr:row>5</xdr:row>
      <xdr:rowOff>29403</xdr:rowOff>
    </xdr:from>
    <xdr:to>
      <xdr:col>7</xdr:col>
      <xdr:colOff>1363142</xdr:colOff>
      <xdr:row>5</xdr:row>
      <xdr:rowOff>948773</xdr:rowOff>
    </xdr:to>
    <xdr:pic>
      <xdr:nvPicPr>
        <xdr:cNvPr id="1026" name="Picture 2">
          <a:extLst>
            <a:ext uri="{FF2B5EF4-FFF2-40B4-BE49-F238E27FC236}">
              <a16:creationId xmlns="" xmlns:a16="http://schemas.microsoft.com/office/drawing/2014/main" id="{00000000-0008-0000-07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658350" y="1505778"/>
          <a:ext cx="1372667" cy="91937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318897</xdr:colOff>
      <xdr:row>5</xdr:row>
      <xdr:rowOff>0</xdr:rowOff>
    </xdr:to>
    <xdr:pic>
      <xdr:nvPicPr>
        <xdr:cNvPr id="3" name="Рисунок 2" descr="C:\Users\danshin.5SEASON\Desktop\logo.png">
          <a:extLst>
            <a:ext uri="{FF2B5EF4-FFF2-40B4-BE49-F238E27FC236}">
              <a16:creationId xmlns="" xmlns:a16="http://schemas.microsoft.com/office/drawing/2014/main" id="{00000000-0008-0000-07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628650"/>
          <a:ext cx="318897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152400</xdr:colOff>
      <xdr:row>3</xdr:row>
      <xdr:rowOff>66675</xdr:rowOff>
    </xdr:from>
    <xdr:to>
      <xdr:col>7</xdr:col>
      <xdr:colOff>1362580</xdr:colOff>
      <xdr:row>4</xdr:row>
      <xdr:rowOff>209550</xdr:rowOff>
    </xdr:to>
    <xdr:pic>
      <xdr:nvPicPr>
        <xdr:cNvPr id="4" name="Рисунок 3" descr="C:\Users\danshin.5SEASON\Desktop\5season_new_logo_rus [Converted].png">
          <a:extLst>
            <a:ext uri="{FF2B5EF4-FFF2-40B4-BE49-F238E27FC236}">
              <a16:creationId xmlns="" xmlns:a16="http://schemas.microsoft.com/office/drawing/2014/main" id="{00000000-0008-0000-07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9820275" y="923925"/>
          <a:ext cx="121018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85726</xdr:colOff>
      <xdr:row>17</xdr:row>
      <xdr:rowOff>0</xdr:rowOff>
    </xdr:from>
    <xdr:to>
      <xdr:col>7</xdr:col>
      <xdr:colOff>1349301</xdr:colOff>
      <xdr:row>17</xdr:row>
      <xdr:rowOff>918000</xdr:rowOff>
    </xdr:to>
    <xdr:pic>
      <xdr:nvPicPr>
        <xdr:cNvPr id="5" name="Picture 1">
          <a:extLst>
            <a:ext uri="{FF2B5EF4-FFF2-40B4-BE49-F238E27FC236}">
              <a16:creationId xmlns="" xmlns:a16="http://schemas.microsoft.com/office/drawing/2014/main" id="{00000000-0008-0000-07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753601" y="4714875"/>
          <a:ext cx="1263575" cy="9180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285750</xdr:colOff>
      <xdr:row>5</xdr:row>
      <xdr:rowOff>47625</xdr:rowOff>
    </xdr:from>
    <xdr:to>
      <xdr:col>7</xdr:col>
      <xdr:colOff>1228725</xdr:colOff>
      <xdr:row>6</xdr:row>
      <xdr:rowOff>1669</xdr:rowOff>
    </xdr:to>
    <xdr:pic>
      <xdr:nvPicPr>
        <xdr:cNvPr id="1026" name="Picture 2">
          <a:extLst>
            <a:ext uri="{FF2B5EF4-FFF2-40B4-BE49-F238E27FC236}">
              <a16:creationId xmlns="" xmlns:a16="http://schemas.microsoft.com/office/drawing/2014/main" id="{00000000-0008-0000-08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953625" y="1371600"/>
          <a:ext cx="942975" cy="94464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7</xdr:col>
      <xdr:colOff>330562</xdr:colOff>
      <xdr:row>12</xdr:row>
      <xdr:rowOff>38099</xdr:rowOff>
    </xdr:from>
    <xdr:to>
      <xdr:col>8</xdr:col>
      <xdr:colOff>0</xdr:colOff>
      <xdr:row>12</xdr:row>
      <xdr:rowOff>985556</xdr:rowOff>
    </xdr:to>
    <xdr:pic>
      <xdr:nvPicPr>
        <xdr:cNvPr id="1027" name="Picture 3">
          <a:extLst>
            <a:ext uri="{FF2B5EF4-FFF2-40B4-BE49-F238E27FC236}">
              <a16:creationId xmlns="" xmlns:a16="http://schemas.microsoft.com/office/drawing/2014/main" id="{00000000-0008-0000-08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998437" y="3752849"/>
          <a:ext cx="1050563" cy="94745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7</xdr:col>
      <xdr:colOff>361950</xdr:colOff>
      <xdr:row>19</xdr:row>
      <xdr:rowOff>19050</xdr:rowOff>
    </xdr:from>
    <xdr:to>
      <xdr:col>7</xdr:col>
      <xdr:colOff>1304925</xdr:colOff>
      <xdr:row>19</xdr:row>
      <xdr:rowOff>963694</xdr:rowOff>
    </xdr:to>
    <xdr:pic>
      <xdr:nvPicPr>
        <xdr:cNvPr id="5" name="Picture 2">
          <a:extLst>
            <a:ext uri="{FF2B5EF4-FFF2-40B4-BE49-F238E27FC236}">
              <a16:creationId xmlns="" xmlns:a16="http://schemas.microsoft.com/office/drawing/2014/main" id="{00000000-0008-0000-08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029825" y="5972175"/>
          <a:ext cx="942975" cy="94464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7</xdr:col>
      <xdr:colOff>295275</xdr:colOff>
      <xdr:row>26</xdr:row>
      <xdr:rowOff>47625</xdr:rowOff>
    </xdr:from>
    <xdr:to>
      <xdr:col>7</xdr:col>
      <xdr:colOff>1362167</xdr:colOff>
      <xdr:row>27</xdr:row>
      <xdr:rowOff>14180</xdr:rowOff>
    </xdr:to>
    <xdr:pic>
      <xdr:nvPicPr>
        <xdr:cNvPr id="7" name="Рисунок 6">
          <a:extLst>
            <a:ext uri="{FF2B5EF4-FFF2-40B4-BE49-F238E27FC236}">
              <a16:creationId xmlns="" xmlns:a16="http://schemas.microsoft.com/office/drawing/2014/main" id="{00000000-0008-0000-0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963150" y="8239125"/>
          <a:ext cx="1066892" cy="95715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318897</xdr:colOff>
      <xdr:row>5</xdr:row>
      <xdr:rowOff>0</xdr:rowOff>
    </xdr:to>
    <xdr:pic>
      <xdr:nvPicPr>
        <xdr:cNvPr id="8" name="Рисунок 7" descr="C:\Users\danshin.5SEASON\Desktop\logo.png">
          <a:extLst>
            <a:ext uri="{FF2B5EF4-FFF2-40B4-BE49-F238E27FC236}">
              <a16:creationId xmlns="" xmlns:a16="http://schemas.microsoft.com/office/drawing/2014/main" id="{00000000-0008-0000-0800-000008000000}"/>
            </a:ext>
          </a:extLst>
        </xdr:cNvPr>
        <xdr:cNvPicPr/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0" y="628650"/>
          <a:ext cx="318897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76200</xdr:colOff>
      <xdr:row>3</xdr:row>
      <xdr:rowOff>38100</xdr:rowOff>
    </xdr:from>
    <xdr:to>
      <xdr:col>7</xdr:col>
      <xdr:colOff>1286380</xdr:colOff>
      <xdr:row>4</xdr:row>
      <xdr:rowOff>180975</xdr:rowOff>
    </xdr:to>
    <xdr:pic>
      <xdr:nvPicPr>
        <xdr:cNvPr id="10" name="Рисунок 9" descr="C:\Users\danshin.5SEASON\Desktop\5season_new_logo_rus [Converted].png">
          <a:extLst>
            <a:ext uri="{FF2B5EF4-FFF2-40B4-BE49-F238E27FC236}">
              <a16:creationId xmlns="" xmlns:a16="http://schemas.microsoft.com/office/drawing/2014/main" id="{00000000-0008-0000-0800-00000A000000}"/>
            </a:ext>
          </a:extLst>
        </xdr:cNvPr>
        <xdr:cNvPicPr/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9744075" y="895350"/>
          <a:ext cx="121018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257175</xdr:colOff>
      <xdr:row>33</xdr:row>
      <xdr:rowOff>38101</xdr:rowOff>
    </xdr:from>
    <xdr:to>
      <xdr:col>7</xdr:col>
      <xdr:colOff>1285875</xdr:colOff>
      <xdr:row>33</xdr:row>
      <xdr:rowOff>952500</xdr:rowOff>
    </xdr:to>
    <xdr:pic>
      <xdr:nvPicPr>
        <xdr:cNvPr id="1039" name="Picture 15">
          <a:extLst>
            <a:ext uri="{FF2B5EF4-FFF2-40B4-BE49-F238E27FC236}">
              <a16:creationId xmlns="" xmlns:a16="http://schemas.microsoft.com/office/drawing/2014/main" id="{00000000-0008-0000-0800-00000F04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9925050" y="10429876"/>
          <a:ext cx="1028700" cy="91439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7</xdr:col>
      <xdr:colOff>285176</xdr:colOff>
      <xdr:row>38</xdr:row>
      <xdr:rowOff>1</xdr:rowOff>
    </xdr:from>
    <xdr:to>
      <xdr:col>7</xdr:col>
      <xdr:colOff>1352549</xdr:colOff>
      <xdr:row>38</xdr:row>
      <xdr:rowOff>952500</xdr:rowOff>
    </xdr:to>
    <xdr:pic>
      <xdr:nvPicPr>
        <xdr:cNvPr id="1041" name="Picture 17">
          <a:extLst>
            <a:ext uri="{FF2B5EF4-FFF2-40B4-BE49-F238E27FC236}">
              <a16:creationId xmlns="" xmlns:a16="http://schemas.microsoft.com/office/drawing/2014/main" id="{00000000-0008-0000-0800-00001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9953051" y="12230101"/>
          <a:ext cx="1067373" cy="952499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444910</xdr:colOff>
      <xdr:row>43</xdr:row>
      <xdr:rowOff>58695</xdr:rowOff>
    </xdr:from>
    <xdr:to>
      <xdr:col>7</xdr:col>
      <xdr:colOff>1304994</xdr:colOff>
      <xdr:row>43</xdr:row>
      <xdr:rowOff>964509</xdr:rowOff>
    </xdr:to>
    <xdr:pic>
      <xdr:nvPicPr>
        <xdr:cNvPr id="2" name="Picture 2">
          <a:extLst>
            <a:ext uri="{FF2B5EF4-FFF2-40B4-BE49-F238E27FC236}">
              <a16:creationId xmlns=""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0112785" y="14127120"/>
          <a:ext cx="860084" cy="905814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276040</xdr:colOff>
      <xdr:row>51</xdr:row>
      <xdr:rowOff>19050</xdr:rowOff>
    </xdr:from>
    <xdr:to>
      <xdr:col>7</xdr:col>
      <xdr:colOff>1266825</xdr:colOff>
      <xdr:row>51</xdr:row>
      <xdr:rowOff>975861</xdr:rowOff>
    </xdr:to>
    <xdr:pic>
      <xdr:nvPicPr>
        <xdr:cNvPr id="1028" name="Picture 4">
          <a:extLst>
            <a:ext uri="{FF2B5EF4-FFF2-40B4-BE49-F238E27FC236}">
              <a16:creationId xmlns="" xmlns:a16="http://schemas.microsoft.com/office/drawing/2014/main" id="{00000000-0008-0000-08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9943915" y="16325850"/>
          <a:ext cx="990785" cy="956811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368140</xdr:colOff>
      <xdr:row>59</xdr:row>
      <xdr:rowOff>19050</xdr:rowOff>
    </xdr:from>
    <xdr:to>
      <xdr:col>8</xdr:col>
      <xdr:colOff>0</xdr:colOff>
      <xdr:row>59</xdr:row>
      <xdr:rowOff>981075</xdr:rowOff>
    </xdr:to>
    <xdr:pic>
      <xdr:nvPicPr>
        <xdr:cNvPr id="1025" name="Picture 1">
          <a:extLst>
            <a:ext uri="{FF2B5EF4-FFF2-40B4-BE49-F238E27FC236}">
              <a16:creationId xmlns="" xmlns:a16="http://schemas.microsoft.com/office/drawing/2014/main" id="{00000000-0008-0000-08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10036015" y="18564225"/>
          <a:ext cx="1022511" cy="9620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7</xdr:col>
      <xdr:colOff>358026</xdr:colOff>
      <xdr:row>64</xdr:row>
      <xdr:rowOff>30254</xdr:rowOff>
    </xdr:from>
    <xdr:to>
      <xdr:col>7</xdr:col>
      <xdr:colOff>1366556</xdr:colOff>
      <xdr:row>64</xdr:row>
      <xdr:rowOff>957975</xdr:rowOff>
    </xdr:to>
    <xdr:pic>
      <xdr:nvPicPr>
        <xdr:cNvPr id="3" name="Picture 1">
          <a:extLst>
            <a:ext uri="{FF2B5EF4-FFF2-40B4-BE49-F238E27FC236}">
              <a16:creationId xmlns=""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10025901" y="20366129"/>
          <a:ext cx="1008530" cy="92772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7</xdr:col>
      <xdr:colOff>238125</xdr:colOff>
      <xdr:row>79</xdr:row>
      <xdr:rowOff>24092</xdr:rowOff>
    </xdr:from>
    <xdr:to>
      <xdr:col>7</xdr:col>
      <xdr:colOff>1246155</xdr:colOff>
      <xdr:row>79</xdr:row>
      <xdr:rowOff>967066</xdr:rowOff>
    </xdr:to>
    <xdr:pic>
      <xdr:nvPicPr>
        <xdr:cNvPr id="16" name="Picture 5">
          <a:extLst>
            <a:ext uri="{FF2B5EF4-FFF2-40B4-BE49-F238E27FC236}">
              <a16:creationId xmlns="" xmlns:a16="http://schemas.microsoft.com/office/drawing/2014/main" id="{00000000-0008-0000-08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9906000" y="24874817"/>
          <a:ext cx="1008030" cy="94297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7</xdr:col>
      <xdr:colOff>320789</xdr:colOff>
      <xdr:row>72</xdr:row>
      <xdr:rowOff>9525</xdr:rowOff>
    </xdr:from>
    <xdr:to>
      <xdr:col>7</xdr:col>
      <xdr:colOff>1256738</xdr:colOff>
      <xdr:row>72</xdr:row>
      <xdr:rowOff>965075</xdr:rowOff>
    </xdr:to>
    <xdr:pic>
      <xdr:nvPicPr>
        <xdr:cNvPr id="4" name="Picture 2">
          <a:extLst>
            <a:ext uri="{FF2B5EF4-FFF2-40B4-BE49-F238E27FC236}">
              <a16:creationId xmlns="" xmlns:a16="http://schemas.microsoft.com/office/drawing/2014/main" id="{00000000-0008-0000-08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9988664" y="22621875"/>
          <a:ext cx="935949" cy="9555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7</xdr:col>
      <xdr:colOff>209550</xdr:colOff>
      <xdr:row>84</xdr:row>
      <xdr:rowOff>228600</xdr:rowOff>
    </xdr:from>
    <xdr:to>
      <xdr:col>7</xdr:col>
      <xdr:colOff>1289550</xdr:colOff>
      <xdr:row>85</xdr:row>
      <xdr:rowOff>933675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9877425" y="27279600"/>
          <a:ext cx="1080000" cy="943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5season.ru/" TargetMode="External"/><Relationship Id="rId2" Type="http://schemas.openxmlformats.org/officeDocument/2006/relationships/hyperlink" Target="http://www.dec-products.ru/" TargetMode="External"/><Relationship Id="rId1" Type="http://schemas.openxmlformats.org/officeDocument/2006/relationships/hyperlink" Target="mailto:info@5season.ru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2.xml"/><Relationship Id="rId3" Type="http://schemas.openxmlformats.org/officeDocument/2006/relationships/hyperlink" Target="https://www.dec-products.ru/catalog/sealing/tapes/duct_tape/" TargetMode="External"/><Relationship Id="rId7" Type="http://schemas.openxmlformats.org/officeDocument/2006/relationships/hyperlink" Target="https://www.dec-products.ru/catalog/sealing/tapes/psb_cold_shrink_tape/" TargetMode="External"/><Relationship Id="rId2" Type="http://schemas.openxmlformats.org/officeDocument/2006/relationships/hyperlink" Target="https://www.dec-products.ru/catalog/sealing/tapes/alutape_reinforced/" TargetMode="External"/><Relationship Id="rId1" Type="http://schemas.openxmlformats.org/officeDocument/2006/relationships/hyperlink" Target="https://www.dec-products.ru/catalog/sealing/tapes/alutape/" TargetMode="External"/><Relationship Id="rId6" Type="http://schemas.openxmlformats.org/officeDocument/2006/relationships/hyperlink" Target="https://www.dec-products.ru/catalog/sealing/tapes/asb_cold_shrink_tape/" TargetMode="External"/><Relationship Id="rId5" Type="http://schemas.openxmlformats.org/officeDocument/2006/relationships/hyperlink" Target="https://www.dec-products.ru/catalog/sealing/tapes/gt_tape/" TargetMode="External"/><Relationship Id="rId4" Type="http://schemas.openxmlformats.org/officeDocument/2006/relationships/hyperlink" Target="https://www.dec-products.ru/catalog/sealing/tapes/pvc_tape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dec-products.ru/catalog/laminated_ducting/combidec_2000/" TargetMode="External"/><Relationship Id="rId2" Type="http://schemas.openxmlformats.org/officeDocument/2006/relationships/hyperlink" Target="https://www.dec-products.ru/catalog/laminated_ducting/aludec_aa3/" TargetMode="External"/><Relationship Id="rId1" Type="http://schemas.openxmlformats.org/officeDocument/2006/relationships/hyperlink" Target="https://www.dec-products.ru/catalog/laminated_ducting/aludec_245/" TargetMode="External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dec-products.ru/catalog/synthetic_ducting/pvc_white/" TargetMode="External"/><Relationship Id="rId1" Type="http://schemas.openxmlformats.org/officeDocument/2006/relationships/hyperlink" Target="https://www.dec-products.ru/catalog/synthetic_ducting/greydec_100/" TargetMode="External"/><Relationship Id="rId4" Type="http://schemas.openxmlformats.org/officeDocument/2006/relationships/drawing" Target="../drawings/drawing5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dec-products.ru/catalog/insulated_ducting/acoustically_insulated_ducting/sonodec_25/" TargetMode="External"/><Relationship Id="rId2" Type="http://schemas.openxmlformats.org/officeDocument/2006/relationships/hyperlink" Target="https://www.dec-products.ru/catalog/insulated_ducting/thermally_insulated_ducting/isosleeve_25/" TargetMode="External"/><Relationship Id="rId1" Type="http://schemas.openxmlformats.org/officeDocument/2006/relationships/hyperlink" Target="https://www.dec-products.ru/catalog/insulated_ducting/thermally_insulated_ducting/isodec_25/" TargetMode="External"/><Relationship Id="rId5" Type="http://schemas.openxmlformats.org/officeDocument/2006/relationships/drawing" Target="../drawings/drawing6.xml"/><Relationship Id="rId4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s://www.dec-products.ru/catalog/semi_flexible_ducting/stretchdec/" TargetMode="External"/><Relationship Id="rId1" Type="http://schemas.openxmlformats.org/officeDocument/2006/relationships/hyperlink" Target="https://www.dec-products.ru/catalog/semi_flexible_ducting/semidec/" TargetMode="External"/><Relationship Id="rId4" Type="http://schemas.openxmlformats.org/officeDocument/2006/relationships/drawing" Target="../drawings/drawing7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dec-products.ru/catalog/sound_attenuators/sonodec_25_trd/" TargetMode="External"/><Relationship Id="rId2" Type="http://schemas.openxmlformats.org/officeDocument/2006/relationships/hyperlink" Target="https://www.dec-products.ru/catalog/sound_attenuators/sonodec_25_glx/" TargetMode="External"/><Relationship Id="rId1" Type="http://schemas.openxmlformats.org/officeDocument/2006/relationships/hyperlink" Target="https://www.dec-products.ru/catalog/sound_attenuators/sonodec_25_glx/" TargetMode="External"/><Relationship Id="rId4" Type="http://schemas.openxmlformats.org/officeDocument/2006/relationships/drawing" Target="../drawings/drawing8.xm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dec-products.ru/catalog/air_valves/metal_air_valves/metal_supply_and_exhaust_air_valves/dvi/" TargetMode="External"/><Relationship Id="rId3" Type="http://schemas.openxmlformats.org/officeDocument/2006/relationships/hyperlink" Target="https://www.dec-products.ru/catalog/air_valves/design_air_valves/dvsq_p/" TargetMode="External"/><Relationship Id="rId7" Type="http://schemas.openxmlformats.org/officeDocument/2006/relationships/hyperlink" Target="https://www.dec-products.ru/catalog/air_valves/design_air_valves/dvir/" TargetMode="External"/><Relationship Id="rId2" Type="http://schemas.openxmlformats.org/officeDocument/2006/relationships/hyperlink" Target="https://www.dec-products.ru/catalog/air_valves/metal_air_valves/metal_supply_air_valves/dvs_p/" TargetMode="External"/><Relationship Id="rId1" Type="http://schemas.openxmlformats.org/officeDocument/2006/relationships/hyperlink" Target="https://www.dec-products.ru/catalog/air_valves/metal_air_valves/metal_exhaust_air_valves/dvs/" TargetMode="External"/><Relationship Id="rId6" Type="http://schemas.openxmlformats.org/officeDocument/2006/relationships/hyperlink" Target="https://www.dec-products.ru/catalog/air_valves/metal_air_valves/metal_supply_air_valves/dvsr/" TargetMode="External"/><Relationship Id="rId5" Type="http://schemas.openxmlformats.org/officeDocument/2006/relationships/hyperlink" Target="https://www.dec-products.ru/catalog/air_valves/metal_air_valves/metal_exhaust_air_valves/dvser/" TargetMode="External"/><Relationship Id="rId10" Type="http://schemas.openxmlformats.org/officeDocument/2006/relationships/drawing" Target="../drawings/drawing9.xml"/><Relationship Id="rId4" Type="http://schemas.openxmlformats.org/officeDocument/2006/relationships/hyperlink" Target="https://www.dec-products.ru/catalog/air_valves/design_air_valves/dvsq/" TargetMode="External"/><Relationship Id="rId9" Type="http://schemas.openxmlformats.org/officeDocument/2006/relationships/hyperlink" Target="https://www.dec-products.ru/catalog/air_valves/plastic_air_valves/dvkr/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hyperlink" Target="https://www.dec-products.ru/catalog/control_and_shutter_valves/bds_backdraught_shutter/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dec-products.ru/catalog/mounting/sbr_spiral_clamps/" TargetMode="External"/><Relationship Id="rId7" Type="http://schemas.openxmlformats.org/officeDocument/2006/relationships/drawing" Target="../drawings/drawing11.xml"/><Relationship Id="rId2" Type="http://schemas.openxmlformats.org/officeDocument/2006/relationships/hyperlink" Target="https://www.dec-products.ru/catalog/mounting/multiband/" TargetMode="External"/><Relationship Id="rId1" Type="http://schemas.openxmlformats.org/officeDocument/2006/relationships/hyperlink" Target="https://www.dec-products.ru/catalog/mounting/multiclamp/" TargetMode="External"/><Relationship Id="rId6" Type="http://schemas.openxmlformats.org/officeDocument/2006/relationships/hyperlink" Target="https://www.dec-products.ru/catalog/mounting/qcl_nylon_quick_clamps/" TargetMode="External"/><Relationship Id="rId5" Type="http://schemas.openxmlformats.org/officeDocument/2006/relationships/hyperlink" Target="https://www.dec-products.ru/catalog/mounting/suspension_strap/" TargetMode="External"/><Relationship Id="rId4" Type="http://schemas.openxmlformats.org/officeDocument/2006/relationships/hyperlink" Target="https://www.dec-products.ru/catalog/mounting/dec_connecto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2"/>
  <sheetViews>
    <sheetView showGridLines="0" showRowColHeaders="0" tabSelected="1" topLeftCell="A7" zoomScaleNormal="100" zoomScaleSheetLayoutView="70" zoomScalePageLayoutView="70" workbookViewId="0">
      <selection activeCell="D41" sqref="D41"/>
    </sheetView>
  </sheetViews>
  <sheetFormatPr defaultRowHeight="14.4" x14ac:dyDescent="0.3"/>
  <cols>
    <col min="1" max="1" width="5.77734375" customWidth="1"/>
    <col min="2" max="4" width="25.77734375" customWidth="1"/>
    <col min="5" max="7" width="20.77734375" customWidth="1"/>
  </cols>
  <sheetData>
    <row r="1" spans="1:15" x14ac:dyDescent="0.3">
      <c r="A1" s="13"/>
      <c r="B1" s="13"/>
      <c r="C1" s="13"/>
      <c r="D1" s="13"/>
      <c r="E1" s="96"/>
      <c r="F1" s="96"/>
      <c r="G1" s="96"/>
      <c r="H1" s="3"/>
      <c r="I1" s="3"/>
      <c r="J1" s="3"/>
      <c r="K1" s="3"/>
      <c r="L1" s="3"/>
      <c r="M1" s="3"/>
      <c r="N1" s="3"/>
    </row>
    <row r="2" spans="1:15" x14ac:dyDescent="0.3">
      <c r="A2" s="13"/>
      <c r="B2" s="13"/>
      <c r="C2" s="13"/>
      <c r="D2" s="13"/>
      <c r="E2" s="96"/>
      <c r="F2" s="96"/>
      <c r="G2" s="96"/>
      <c r="H2" s="3"/>
      <c r="I2" s="3"/>
      <c r="J2" s="3"/>
      <c r="K2" s="3"/>
      <c r="L2" s="3"/>
      <c r="M2" s="3"/>
      <c r="N2" s="3"/>
    </row>
    <row r="3" spans="1:15" x14ac:dyDescent="0.3">
      <c r="A3" s="13"/>
      <c r="B3" s="13"/>
      <c r="C3" s="13"/>
      <c r="D3" s="13"/>
      <c r="E3" s="96"/>
      <c r="F3" s="96"/>
      <c r="G3" s="96"/>
      <c r="H3" s="3"/>
      <c r="I3" s="3"/>
      <c r="J3" s="3"/>
      <c r="K3" s="3"/>
      <c r="L3" s="3"/>
      <c r="M3" s="3"/>
      <c r="N3" s="3"/>
    </row>
    <row r="4" spans="1:15" ht="23.4" x14ac:dyDescent="0.45">
      <c r="A4" s="13"/>
      <c r="B4" s="13"/>
      <c r="C4" s="13"/>
      <c r="D4" s="306" t="s">
        <v>562</v>
      </c>
      <c r="E4" s="307"/>
      <c r="F4" s="96"/>
      <c r="G4" s="96"/>
      <c r="H4" s="3"/>
      <c r="I4" s="3"/>
      <c r="J4" s="3"/>
      <c r="K4" s="3"/>
      <c r="L4" s="3"/>
      <c r="M4" s="3"/>
      <c r="N4" s="3"/>
    </row>
    <row r="5" spans="1:15" ht="23.4" x14ac:dyDescent="0.45">
      <c r="A5" s="13"/>
      <c r="B5" s="13"/>
      <c r="C5" s="13"/>
      <c r="D5" s="306" t="s">
        <v>564</v>
      </c>
      <c r="E5" s="307"/>
      <c r="F5" s="96"/>
      <c r="G5" s="96"/>
      <c r="H5" s="3"/>
      <c r="I5" s="3"/>
      <c r="J5" s="3"/>
      <c r="K5" s="3"/>
      <c r="L5" s="3"/>
      <c r="M5" s="3"/>
      <c r="N5" s="3"/>
    </row>
    <row r="6" spans="1:15" ht="23.4" x14ac:dyDescent="0.45">
      <c r="A6" s="13"/>
      <c r="B6" s="13"/>
      <c r="C6" s="13"/>
      <c r="D6" s="306" t="s">
        <v>565</v>
      </c>
      <c r="E6" s="307"/>
      <c r="F6" s="96"/>
      <c r="G6" s="96"/>
      <c r="H6" s="3"/>
      <c r="I6" s="3"/>
      <c r="J6" s="3"/>
      <c r="K6" s="3"/>
      <c r="L6" s="3"/>
      <c r="M6" s="3"/>
      <c r="N6" s="3"/>
    </row>
    <row r="7" spans="1:15" x14ac:dyDescent="0.3">
      <c r="A7" s="13"/>
      <c r="B7" s="13"/>
      <c r="C7" s="13"/>
      <c r="D7" s="13"/>
      <c r="E7" s="96"/>
      <c r="F7" s="96"/>
      <c r="G7" s="96"/>
      <c r="H7" s="3"/>
      <c r="I7" s="3"/>
      <c r="J7" s="3"/>
      <c r="K7" s="3"/>
      <c r="L7" s="3"/>
      <c r="M7" s="3"/>
      <c r="N7" s="3"/>
      <c r="O7" s="3"/>
    </row>
    <row r="8" spans="1:15" x14ac:dyDescent="0.3">
      <c r="A8" s="13"/>
      <c r="B8" s="13"/>
      <c r="C8" s="13"/>
      <c r="D8" s="13"/>
      <c r="E8" s="96"/>
      <c r="F8" s="96"/>
      <c r="G8" s="96"/>
      <c r="H8" s="3"/>
      <c r="I8" s="3"/>
      <c r="J8" s="3"/>
      <c r="K8" s="3"/>
      <c r="L8" s="3"/>
      <c r="M8" s="3"/>
      <c r="N8" s="3"/>
      <c r="O8" s="3"/>
    </row>
    <row r="9" spans="1:15" ht="23.4" x14ac:dyDescent="0.45">
      <c r="A9" s="309"/>
      <c r="B9" s="309"/>
      <c r="C9" s="309"/>
      <c r="D9" s="309"/>
      <c r="E9" s="119"/>
      <c r="F9" s="119"/>
      <c r="G9" s="96"/>
      <c r="H9" s="3"/>
      <c r="I9" s="3"/>
      <c r="J9" s="3"/>
      <c r="K9" s="3"/>
      <c r="L9" s="3"/>
      <c r="M9" s="3"/>
      <c r="N9" s="3"/>
      <c r="O9" s="3"/>
    </row>
    <row r="10" spans="1:15" ht="23.4" x14ac:dyDescent="0.45">
      <c r="A10" s="309" t="s">
        <v>0</v>
      </c>
      <c r="B10" s="309"/>
      <c r="C10" s="309"/>
      <c r="D10" s="309"/>
      <c r="E10" s="309"/>
      <c r="F10" s="309"/>
      <c r="G10" s="309"/>
      <c r="H10" s="3"/>
      <c r="I10" s="3"/>
      <c r="J10" s="3"/>
      <c r="K10" s="3"/>
      <c r="L10" s="3"/>
      <c r="M10" s="3"/>
      <c r="N10" s="3"/>
      <c r="O10" s="3"/>
    </row>
    <row r="11" spans="1:15" ht="18" x14ac:dyDescent="0.35">
      <c r="A11" s="311" t="s">
        <v>387</v>
      </c>
      <c r="B11" s="311"/>
      <c r="C11" s="311"/>
      <c r="D11" s="311"/>
      <c r="E11" s="311"/>
      <c r="F11" s="311"/>
      <c r="G11" s="311"/>
      <c r="H11" s="3"/>
      <c r="I11" s="3"/>
      <c r="J11" s="3"/>
      <c r="K11" s="3"/>
      <c r="L11" s="3"/>
      <c r="M11" s="3"/>
      <c r="N11" s="3"/>
      <c r="O11" s="3"/>
    </row>
    <row r="12" spans="1:15" ht="18" x14ac:dyDescent="0.35">
      <c r="A12" s="311" t="s">
        <v>508</v>
      </c>
      <c r="B12" s="311"/>
      <c r="C12" s="311"/>
      <c r="D12" s="311"/>
      <c r="E12" s="311"/>
      <c r="F12" s="311"/>
      <c r="G12" s="311"/>
      <c r="H12" s="3"/>
      <c r="I12" s="3"/>
      <c r="J12" s="3"/>
      <c r="K12" s="3"/>
      <c r="L12" s="3"/>
      <c r="M12" s="3"/>
      <c r="N12" s="3"/>
      <c r="O12" s="3"/>
    </row>
    <row r="13" spans="1:15" ht="18" x14ac:dyDescent="0.35">
      <c r="A13" s="311" t="s">
        <v>563</v>
      </c>
      <c r="B13" s="311"/>
      <c r="C13" s="311"/>
      <c r="D13" s="311"/>
      <c r="E13" s="311"/>
      <c r="F13" s="311"/>
      <c r="G13" s="311"/>
      <c r="H13" s="3"/>
      <c r="I13" s="3"/>
      <c r="J13" s="3"/>
      <c r="K13" s="3"/>
      <c r="L13" s="3"/>
      <c r="M13" s="3"/>
      <c r="N13" s="3"/>
      <c r="O13" s="3"/>
    </row>
    <row r="14" spans="1:15" ht="15" thickBot="1" x14ac:dyDescent="0.35">
      <c r="A14" s="19"/>
      <c r="B14" s="19"/>
      <c r="C14" s="13"/>
      <c r="D14" s="19"/>
      <c r="E14" s="96"/>
      <c r="F14" s="96"/>
      <c r="G14" s="96"/>
      <c r="H14" s="3"/>
      <c r="I14" s="3"/>
      <c r="J14" s="3"/>
      <c r="K14" s="3"/>
      <c r="L14" s="3"/>
      <c r="M14" s="3"/>
      <c r="N14" s="3"/>
      <c r="O14" s="3"/>
    </row>
    <row r="15" spans="1:15" ht="24" thickBot="1" x14ac:dyDescent="0.5">
      <c r="A15" s="33" t="s">
        <v>17</v>
      </c>
      <c r="B15" s="33"/>
      <c r="C15" s="123" t="s">
        <v>455</v>
      </c>
      <c r="D15" s="294">
        <v>0</v>
      </c>
      <c r="E15" s="120" t="s">
        <v>507</v>
      </c>
      <c r="F15" s="121" t="s">
        <v>464</v>
      </c>
      <c r="G15" s="122" t="s">
        <v>465</v>
      </c>
      <c r="H15" s="114"/>
      <c r="I15" s="114"/>
      <c r="J15" s="3"/>
      <c r="K15" s="3"/>
      <c r="L15" s="3"/>
      <c r="M15" s="3"/>
      <c r="N15" s="3"/>
      <c r="O15" s="3"/>
    </row>
    <row r="16" spans="1:15" x14ac:dyDescent="0.3">
      <c r="A16" s="34"/>
      <c r="B16" s="34"/>
      <c r="C16" s="34"/>
      <c r="D16" s="34"/>
      <c r="E16" s="118"/>
      <c r="F16" s="118"/>
      <c r="G16" s="13"/>
      <c r="H16" s="3"/>
      <c r="I16" s="3"/>
      <c r="J16" s="3"/>
      <c r="K16" s="3"/>
      <c r="L16" s="3"/>
      <c r="M16" s="3"/>
      <c r="N16" s="3"/>
      <c r="O16" s="3"/>
    </row>
    <row r="17" spans="1:15" ht="21" x14ac:dyDescent="0.4">
      <c r="A17" s="59" t="s">
        <v>1</v>
      </c>
      <c r="B17" s="310" t="s">
        <v>2</v>
      </c>
      <c r="C17" s="310"/>
      <c r="D17" s="310"/>
      <c r="E17" s="238">
        <f>Ламинированные!D1</f>
        <v>0</v>
      </c>
      <c r="F17" s="239">
        <f>Ламинированные!F1</f>
        <v>0</v>
      </c>
      <c r="G17" s="240">
        <f>Ламинированные!H1</f>
        <v>0</v>
      </c>
      <c r="H17" s="3"/>
      <c r="I17" s="3"/>
      <c r="J17" s="3"/>
      <c r="K17" s="3"/>
      <c r="L17" s="3"/>
      <c r="M17" s="3"/>
      <c r="N17" s="3"/>
      <c r="O17" s="3"/>
    </row>
    <row r="18" spans="1:15" s="3" customFormat="1" ht="10.050000000000001" customHeight="1" x14ac:dyDescent="0.4">
      <c r="A18" s="60"/>
      <c r="B18" s="80"/>
      <c r="C18" s="80"/>
      <c r="D18" s="80"/>
      <c r="E18" s="241"/>
      <c r="F18" s="241"/>
      <c r="G18" s="241"/>
    </row>
    <row r="19" spans="1:15" ht="21" x14ac:dyDescent="0.4">
      <c r="A19" s="61" t="s">
        <v>4</v>
      </c>
      <c r="B19" s="308" t="s">
        <v>3</v>
      </c>
      <c r="C19" s="308"/>
      <c r="D19" s="308"/>
      <c r="E19" s="242">
        <f>Синтетические!D1</f>
        <v>0</v>
      </c>
      <c r="F19" s="243">
        <f>Синтетические!F1</f>
        <v>0</v>
      </c>
      <c r="G19" s="244">
        <f>Синтетические!H1</f>
        <v>0</v>
      </c>
      <c r="H19" s="3"/>
      <c r="I19" s="3"/>
      <c r="J19" s="3"/>
      <c r="K19" s="3"/>
      <c r="L19" s="3"/>
      <c r="M19" s="3"/>
      <c r="N19" s="3"/>
      <c r="O19" s="3"/>
    </row>
    <row r="20" spans="1:15" s="3" customFormat="1" ht="10.050000000000001" customHeight="1" x14ac:dyDescent="0.4">
      <c r="A20" s="60"/>
      <c r="B20" s="80"/>
      <c r="C20" s="80"/>
      <c r="D20" s="80"/>
      <c r="E20" s="245"/>
      <c r="F20" s="245"/>
      <c r="G20" s="245"/>
    </row>
    <row r="21" spans="1:15" ht="21" x14ac:dyDescent="0.4">
      <c r="A21" s="62" t="s">
        <v>5</v>
      </c>
      <c r="B21" s="301" t="s">
        <v>6</v>
      </c>
      <c r="C21" s="301"/>
      <c r="D21" s="301"/>
      <c r="E21" s="246">
        <f>Изолированные!D1</f>
        <v>0</v>
      </c>
      <c r="F21" s="247">
        <f>Изолированные!F1</f>
        <v>0</v>
      </c>
      <c r="G21" s="248">
        <f>Изолированные!H1</f>
        <v>0</v>
      </c>
      <c r="H21" s="3"/>
      <c r="I21" s="3"/>
      <c r="J21" s="3"/>
      <c r="K21" s="3"/>
      <c r="L21" s="3"/>
      <c r="M21" s="3"/>
      <c r="N21" s="3"/>
      <c r="O21" s="3"/>
    </row>
    <row r="22" spans="1:15" s="3" customFormat="1" ht="10.050000000000001" customHeight="1" x14ac:dyDescent="0.4">
      <c r="A22" s="60"/>
      <c r="B22" s="80"/>
      <c r="C22" s="80"/>
      <c r="D22" s="80"/>
      <c r="E22" s="245"/>
      <c r="F22" s="245"/>
      <c r="G22" s="249"/>
    </row>
    <row r="23" spans="1:15" ht="21" x14ac:dyDescent="0.4">
      <c r="A23" s="63" t="s">
        <v>7</v>
      </c>
      <c r="B23" s="302" t="s">
        <v>8</v>
      </c>
      <c r="C23" s="302"/>
      <c r="D23" s="302"/>
      <c r="E23" s="250">
        <f>Полужесткие!D1</f>
        <v>0</v>
      </c>
      <c r="F23" s="251">
        <f>Полужесткие!F1</f>
        <v>0</v>
      </c>
      <c r="G23" s="252">
        <f>Полужесткие!H1</f>
        <v>0</v>
      </c>
      <c r="H23" s="3"/>
      <c r="I23" s="3"/>
      <c r="J23" s="3"/>
      <c r="K23" s="3"/>
      <c r="L23" s="3"/>
      <c r="M23" s="3"/>
      <c r="N23" s="3"/>
      <c r="O23" s="3"/>
    </row>
    <row r="24" spans="1:15" s="3" customFormat="1" ht="10.050000000000001" customHeight="1" x14ac:dyDescent="0.4">
      <c r="A24" s="60"/>
      <c r="B24" s="81"/>
      <c r="C24" s="81"/>
      <c r="D24" s="81"/>
      <c r="E24" s="253"/>
      <c r="F24" s="253"/>
      <c r="G24" s="249"/>
    </row>
    <row r="25" spans="1:15" ht="21" x14ac:dyDescent="0.4">
      <c r="A25" s="64" t="s">
        <v>9</v>
      </c>
      <c r="B25" s="303" t="s">
        <v>10</v>
      </c>
      <c r="C25" s="303"/>
      <c r="D25" s="303"/>
      <c r="E25" s="254">
        <f>Шумоглушители!D1</f>
        <v>0</v>
      </c>
      <c r="F25" s="255">
        <f>Шумоглушители!F1</f>
        <v>0</v>
      </c>
      <c r="G25" s="256">
        <f>Шумоглушители!H1</f>
        <v>0</v>
      </c>
      <c r="H25" s="3"/>
      <c r="I25" s="3"/>
      <c r="J25" s="3"/>
      <c r="K25" s="3"/>
      <c r="L25" s="3"/>
      <c r="M25" s="3"/>
      <c r="N25" s="3"/>
      <c r="O25" s="3"/>
    </row>
    <row r="26" spans="1:15" s="3" customFormat="1" ht="10.050000000000001" customHeight="1" x14ac:dyDescent="0.4">
      <c r="A26" s="60"/>
      <c r="B26" s="81"/>
      <c r="C26" s="81"/>
      <c r="D26" s="81"/>
      <c r="E26" s="253"/>
      <c r="F26" s="253"/>
      <c r="G26" s="249"/>
    </row>
    <row r="27" spans="1:15" ht="21" x14ac:dyDescent="0.4">
      <c r="A27" s="59" t="s">
        <v>11</v>
      </c>
      <c r="B27" s="304" t="s">
        <v>241</v>
      </c>
      <c r="C27" s="304"/>
      <c r="D27" s="304"/>
      <c r="E27" s="238">
        <f>Диффузоры!D1</f>
        <v>0</v>
      </c>
      <c r="F27" s="239">
        <f>Диффузоры!F1</f>
        <v>0</v>
      </c>
      <c r="G27" s="240">
        <f>Диффузоры!H1</f>
        <v>0</v>
      </c>
      <c r="H27" s="3"/>
      <c r="I27" s="3"/>
      <c r="J27" s="3"/>
      <c r="K27" s="3"/>
      <c r="L27" s="3"/>
      <c r="M27" s="3"/>
      <c r="N27" s="3"/>
      <c r="O27" s="3"/>
    </row>
    <row r="28" spans="1:15" ht="10.050000000000001" customHeight="1" x14ac:dyDescent="0.4">
      <c r="A28" s="60"/>
      <c r="B28" s="82"/>
      <c r="C28" s="82"/>
      <c r="D28" s="82"/>
      <c r="E28" s="253"/>
      <c r="F28" s="253"/>
      <c r="G28" s="249"/>
      <c r="H28" s="3"/>
      <c r="I28" s="3"/>
      <c r="J28" s="3"/>
      <c r="K28" s="3"/>
      <c r="L28" s="3"/>
      <c r="M28" s="3"/>
      <c r="N28" s="3"/>
      <c r="O28" s="3"/>
    </row>
    <row r="29" spans="1:15" ht="21" x14ac:dyDescent="0.4">
      <c r="A29" s="62" t="s">
        <v>12</v>
      </c>
      <c r="B29" s="305" t="s">
        <v>388</v>
      </c>
      <c r="C29" s="305"/>
      <c r="D29" s="305"/>
      <c r="E29" s="246">
        <f>Клапаны!D1</f>
        <v>0</v>
      </c>
      <c r="F29" s="247">
        <f>Клапаны!F1</f>
        <v>0</v>
      </c>
      <c r="G29" s="248">
        <f>Клапаны!H1</f>
        <v>0</v>
      </c>
      <c r="H29" s="3"/>
      <c r="I29" s="3"/>
      <c r="J29" s="3"/>
      <c r="K29" s="3"/>
      <c r="L29" s="3"/>
      <c r="M29" s="3"/>
      <c r="N29" s="3"/>
      <c r="O29" s="3"/>
    </row>
    <row r="30" spans="1:15" ht="10.050000000000001" customHeight="1" x14ac:dyDescent="0.4">
      <c r="A30" s="60"/>
      <c r="B30" s="81"/>
      <c r="C30" s="81"/>
      <c r="D30" s="81"/>
      <c r="E30" s="257"/>
      <c r="F30" s="257"/>
      <c r="G30" s="249"/>
      <c r="H30" s="3"/>
      <c r="I30" s="3"/>
      <c r="J30" s="3"/>
      <c r="K30" s="3"/>
      <c r="L30" s="3"/>
      <c r="M30" s="3"/>
      <c r="N30" s="3"/>
      <c r="O30" s="3"/>
    </row>
    <row r="31" spans="1:15" ht="21" x14ac:dyDescent="0.4">
      <c r="A31" s="65" t="s">
        <v>13</v>
      </c>
      <c r="B31" s="302" t="s">
        <v>15</v>
      </c>
      <c r="C31" s="302"/>
      <c r="D31" s="302"/>
      <c r="E31" s="250">
        <f>Монтаж!D1</f>
        <v>0</v>
      </c>
      <c r="F31" s="251">
        <f>Монтаж!F1</f>
        <v>0</v>
      </c>
      <c r="G31" s="252">
        <f>Монтаж!H1</f>
        <v>0</v>
      </c>
      <c r="H31" s="3"/>
      <c r="I31" s="3"/>
      <c r="J31" s="3"/>
      <c r="K31" s="3"/>
      <c r="L31" s="3"/>
      <c r="M31" s="3"/>
      <c r="N31" s="3"/>
      <c r="O31" s="3"/>
    </row>
    <row r="32" spans="1:15" ht="10.050000000000001" customHeight="1" x14ac:dyDescent="0.4">
      <c r="A32" s="66"/>
      <c r="B32" s="83"/>
      <c r="C32" s="83"/>
      <c r="D32" s="83"/>
      <c r="E32" s="258"/>
      <c r="F32" s="258"/>
      <c r="G32" s="249"/>
      <c r="H32" s="3"/>
      <c r="I32" s="3"/>
      <c r="J32" s="3"/>
      <c r="K32" s="3"/>
      <c r="L32" s="3"/>
      <c r="M32" s="3"/>
      <c r="N32" s="3"/>
      <c r="O32" s="3"/>
    </row>
    <row r="33" spans="1:17" ht="21" x14ac:dyDescent="0.4">
      <c r="A33" s="67" t="s">
        <v>14</v>
      </c>
      <c r="B33" s="303" t="s">
        <v>16</v>
      </c>
      <c r="C33" s="303"/>
      <c r="D33" s="303"/>
      <c r="E33" s="254">
        <f>Герметизация!D1</f>
        <v>0</v>
      </c>
      <c r="F33" s="255">
        <f>Герметизация!F1</f>
        <v>0</v>
      </c>
      <c r="G33" s="256">
        <f>Герметизация!H1</f>
        <v>0</v>
      </c>
      <c r="H33" s="3"/>
      <c r="I33" s="3"/>
      <c r="J33" s="3"/>
      <c r="K33" s="3"/>
      <c r="L33" s="3"/>
      <c r="M33" s="3"/>
      <c r="N33" s="3"/>
      <c r="O33" s="3"/>
    </row>
    <row r="34" spans="1:17" ht="18" x14ac:dyDescent="0.35">
      <c r="A34" s="19"/>
      <c r="B34" s="19"/>
      <c r="C34" s="19"/>
      <c r="D34" s="115"/>
      <c r="E34" s="259">
        <f>E17+E19+E21+E23+E25+E27+E29+E31+E33</f>
        <v>0</v>
      </c>
      <c r="F34" s="260">
        <f>F17+F19+F21+F23+F25+F27+F29+F31+F33</f>
        <v>0</v>
      </c>
      <c r="G34" s="261">
        <f>G17+G19+G21+G23+G25+G27+G29+G31+G33</f>
        <v>0</v>
      </c>
      <c r="H34" s="3"/>
      <c r="I34" s="3"/>
      <c r="J34" s="3"/>
      <c r="K34" s="3"/>
      <c r="L34" s="3"/>
      <c r="M34" s="3"/>
      <c r="N34" s="3"/>
      <c r="O34" s="3"/>
    </row>
    <row r="35" spans="1:17" ht="18" x14ac:dyDescent="0.35">
      <c r="A35" s="298"/>
      <c r="B35" s="298"/>
      <c r="C35" s="298"/>
      <c r="D35" s="298"/>
      <c r="E35" s="117"/>
      <c r="F35" s="117"/>
      <c r="G35" s="96"/>
      <c r="H35" s="3"/>
      <c r="I35" s="3"/>
      <c r="J35" s="3"/>
      <c r="K35" s="3"/>
      <c r="L35" s="3"/>
      <c r="M35" s="3"/>
      <c r="N35" s="3"/>
      <c r="O35" s="3"/>
    </row>
    <row r="36" spans="1:17" ht="23.4" x14ac:dyDescent="0.45">
      <c r="A36" s="33"/>
      <c r="B36" s="143"/>
      <c r="C36" s="143"/>
      <c r="D36" s="19"/>
      <c r="E36" s="96"/>
      <c r="F36" s="96"/>
      <c r="G36" s="96"/>
      <c r="H36" s="3"/>
      <c r="I36" s="3"/>
      <c r="J36" s="3"/>
      <c r="K36" s="3"/>
      <c r="L36" s="3"/>
      <c r="M36" s="3"/>
      <c r="N36" s="3"/>
      <c r="O36" s="3"/>
    </row>
    <row r="37" spans="1:17" x14ac:dyDescent="0.3">
      <c r="A37" s="19"/>
      <c r="B37" s="19"/>
      <c r="C37" s="19"/>
      <c r="D37" s="19"/>
      <c r="E37" s="96"/>
      <c r="F37" s="96"/>
      <c r="G37" s="96"/>
      <c r="H37" s="3"/>
      <c r="I37" s="3"/>
      <c r="J37" s="3"/>
      <c r="K37" s="3"/>
      <c r="L37" s="3"/>
      <c r="M37" s="3"/>
      <c r="N37" s="3"/>
      <c r="O37" s="3"/>
    </row>
    <row r="38" spans="1:17" x14ac:dyDescent="0.3">
      <c r="A38" s="19"/>
      <c r="B38" s="19"/>
      <c r="C38" s="19"/>
      <c r="D38" s="19"/>
      <c r="E38" s="96"/>
      <c r="F38" s="96"/>
      <c r="G38" s="96"/>
      <c r="H38" s="3"/>
      <c r="I38" s="3"/>
      <c r="J38" s="3"/>
      <c r="K38" s="3"/>
      <c r="L38" s="3"/>
      <c r="M38" s="3"/>
      <c r="N38" s="3"/>
      <c r="O38" s="3"/>
    </row>
    <row r="39" spans="1:17" x14ac:dyDescent="0.3">
      <c r="A39" s="19"/>
      <c r="B39" s="19"/>
      <c r="C39" s="19"/>
      <c r="D39" s="19"/>
      <c r="E39" s="96"/>
      <c r="F39" s="96"/>
      <c r="G39" s="96"/>
      <c r="H39" s="3"/>
      <c r="I39" s="3"/>
      <c r="J39" s="3"/>
      <c r="K39" s="3"/>
      <c r="L39" s="3"/>
      <c r="M39" s="3"/>
      <c r="N39" s="3"/>
      <c r="O39" s="3"/>
    </row>
    <row r="40" spans="1:17" x14ac:dyDescent="0.3">
      <c r="A40" s="19"/>
      <c r="B40" s="19"/>
      <c r="C40" s="19"/>
      <c r="D40" s="19"/>
      <c r="E40" s="96"/>
      <c r="F40" s="96"/>
      <c r="G40" s="96"/>
      <c r="H40" s="3"/>
      <c r="I40" s="3"/>
      <c r="J40" s="3"/>
      <c r="K40" s="3"/>
      <c r="L40" s="3"/>
      <c r="M40" s="3"/>
      <c r="N40" s="3"/>
      <c r="O40" s="3"/>
    </row>
    <row r="41" spans="1:17" x14ac:dyDescent="0.3">
      <c r="A41" s="19"/>
      <c r="B41" s="19"/>
      <c r="C41" s="19"/>
      <c r="D41" s="19"/>
      <c r="E41" s="96"/>
      <c r="F41" s="96"/>
      <c r="G41" s="96"/>
      <c r="H41" s="3"/>
      <c r="I41" s="3"/>
      <c r="J41" s="3"/>
      <c r="K41" s="3"/>
      <c r="L41" s="3"/>
      <c r="M41" s="3"/>
      <c r="N41" s="3"/>
      <c r="O41" s="3"/>
    </row>
    <row r="42" spans="1:17" x14ac:dyDescent="0.3">
      <c r="A42" s="19"/>
      <c r="B42" s="19"/>
      <c r="C42" s="19"/>
      <c r="D42" s="19"/>
      <c r="E42" s="96"/>
      <c r="F42" s="96"/>
      <c r="G42" s="96"/>
      <c r="H42" s="3"/>
      <c r="I42" s="3"/>
      <c r="J42" s="3"/>
      <c r="K42" s="3"/>
      <c r="L42" s="3"/>
      <c r="M42" s="3"/>
      <c r="N42" s="3"/>
      <c r="O42" s="3"/>
    </row>
    <row r="43" spans="1:17" ht="18" x14ac:dyDescent="0.35">
      <c r="A43" s="300"/>
      <c r="B43" s="300"/>
      <c r="C43" s="300"/>
      <c r="D43" s="300"/>
      <c r="E43" s="96"/>
      <c r="F43" s="96"/>
      <c r="G43" s="96"/>
      <c r="H43" s="3"/>
      <c r="I43" s="3"/>
      <c r="J43" s="3"/>
      <c r="K43" s="3"/>
      <c r="L43" s="3"/>
      <c r="M43" s="3"/>
      <c r="N43" s="3"/>
      <c r="O43" s="3"/>
    </row>
    <row r="44" spans="1:17" ht="18" x14ac:dyDescent="0.35">
      <c r="A44" s="299"/>
      <c r="B44" s="300"/>
      <c r="C44" s="300"/>
      <c r="D44" s="300"/>
      <c r="E44" s="96"/>
      <c r="F44" s="96"/>
      <c r="G44" s="96"/>
      <c r="H44" s="3"/>
      <c r="I44" s="3"/>
      <c r="J44" s="3"/>
      <c r="K44" s="3"/>
      <c r="L44" s="3"/>
      <c r="M44" s="3"/>
      <c r="N44" s="3"/>
      <c r="O44" s="3"/>
    </row>
    <row r="45" spans="1:17" x14ac:dyDescent="0.3">
      <c r="A45" s="79"/>
      <c r="B45" s="79"/>
      <c r="C45" s="79"/>
      <c r="D45" s="79"/>
      <c r="E45" s="96"/>
      <c r="F45" s="96"/>
      <c r="G45" s="96"/>
      <c r="H45" s="3"/>
      <c r="I45" s="3"/>
      <c r="J45" s="3"/>
      <c r="K45" s="3"/>
      <c r="L45" s="3"/>
      <c r="M45" s="3"/>
      <c r="N45" s="3"/>
      <c r="O45" s="3"/>
    </row>
    <row r="46" spans="1:17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</row>
    <row r="47" spans="1:17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</row>
    <row r="48" spans="1:17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</row>
    <row r="49" spans="1:17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</row>
    <row r="50" spans="1:17" x14ac:dyDescent="0.3">
      <c r="A50" s="3"/>
      <c r="B50" s="3"/>
      <c r="C50" s="3"/>
      <c r="D50" s="3"/>
      <c r="I50" s="3"/>
      <c r="J50" s="3"/>
      <c r="K50" s="3"/>
      <c r="L50" s="3"/>
      <c r="M50" s="3"/>
      <c r="N50" s="3"/>
      <c r="O50" s="3"/>
      <c r="P50" s="3"/>
      <c r="Q50" s="3"/>
    </row>
    <row r="51" spans="1:17" x14ac:dyDescent="0.3">
      <c r="A51" s="3"/>
      <c r="B51" s="3"/>
      <c r="C51" s="3"/>
      <c r="D51" s="3"/>
      <c r="I51" s="3"/>
      <c r="J51" s="3"/>
      <c r="K51" s="3"/>
      <c r="L51" s="3"/>
      <c r="M51" s="3"/>
      <c r="N51" s="3"/>
      <c r="O51" s="3"/>
      <c r="P51" s="3"/>
      <c r="Q51" s="3"/>
    </row>
    <row r="52" spans="1:17" x14ac:dyDescent="0.3">
      <c r="A52" s="3"/>
      <c r="B52" s="3"/>
      <c r="C52" s="3"/>
      <c r="D52" s="3"/>
    </row>
  </sheetData>
  <sheetProtection password="CAD6" sheet="1" objects="1" scenarios="1"/>
  <mergeCells count="20">
    <mergeCell ref="D4:E4"/>
    <mergeCell ref="D5:E5"/>
    <mergeCell ref="D6:E6"/>
    <mergeCell ref="B31:D31"/>
    <mergeCell ref="B33:D33"/>
    <mergeCell ref="B19:D19"/>
    <mergeCell ref="A9:D9"/>
    <mergeCell ref="B17:D17"/>
    <mergeCell ref="A10:G10"/>
    <mergeCell ref="A11:G11"/>
    <mergeCell ref="A12:G12"/>
    <mergeCell ref="A13:G13"/>
    <mergeCell ref="A35:D35"/>
    <mergeCell ref="A44:D44"/>
    <mergeCell ref="A43:D43"/>
    <mergeCell ref="B21:D21"/>
    <mergeCell ref="B23:D23"/>
    <mergeCell ref="B25:D25"/>
    <mergeCell ref="B27:D27"/>
    <mergeCell ref="B29:D29"/>
  </mergeCells>
  <hyperlinks>
    <hyperlink ref="B23:D23" location="Полужесткие!A1" display="Полужесткие воздуховоды"/>
    <hyperlink ref="B25:D25" location="Шумоглушители!A1" display="Шумоглушители"/>
    <hyperlink ref="B27:D27" location="Диффузоры!A1" display="Диффузоры"/>
    <hyperlink ref="B19:D19" location="Синтетические!A1" display="Синтетические воздуховоды"/>
    <hyperlink ref="B21:D21" location="Изолированные!A1" display="Изолированные воздуховоды"/>
    <hyperlink ref="B29:D29" location="Клапаны!A1" display="Воздухораспределительные устройства"/>
    <hyperlink ref="B31:D31" location="Монтаж!A1" display="Монтаж"/>
    <hyperlink ref="B33:D33" location="Герметизация!A1" display="Герметизация "/>
    <hyperlink ref="B17:D17" location="Ламинированные!A1" display="Ламинированные воздуховоды"/>
    <hyperlink ref="D4" r:id="rId1"/>
    <hyperlink ref="D6" r:id="rId2"/>
    <hyperlink ref="D5" r:id="rId3"/>
  </hyperlinks>
  <pageMargins left="0.7" right="0.7" top="0.75" bottom="0.75" header="0.3" footer="0.3"/>
  <pageSetup paperSize="9" orientation="portrait" r:id="rId4"/>
  <drawing r:id="rId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H44"/>
  <sheetViews>
    <sheetView showGridLines="0" showRowColHeaders="0" zoomScale="85" zoomScaleNormal="85" zoomScaleSheetLayoutView="115" workbookViewId="0">
      <pane ySplit="1" topLeftCell="A2" activePane="bottomLeft" state="frozen"/>
      <selection pane="bottomLeft" activeCell="H1" sqref="H1"/>
    </sheetView>
  </sheetViews>
  <sheetFormatPr defaultRowHeight="14.4" x14ac:dyDescent="0.3"/>
  <cols>
    <col min="1" max="8" width="20.77734375" customWidth="1"/>
  </cols>
  <sheetData>
    <row r="1" spans="1:8" ht="30" customHeight="1" thickBot="1" x14ac:dyDescent="0.35">
      <c r="A1" s="125" t="s">
        <v>455</v>
      </c>
      <c r="B1" s="213">
        <f>Содержание!D15</f>
        <v>0</v>
      </c>
      <c r="C1" s="125" t="s">
        <v>522</v>
      </c>
      <c r="D1" s="212">
        <f>SUM(E8*F8+E9*F9+E10*F10+E14*F14+E15*F15+E19*F19+E20*F20+E24*F24+E25*F25+E26*F26+E30*F30+E31*F31+E32*F32+E33*F33+E34*F34+E35*F35+E36*F36+E40*F40+E44*F44)</f>
        <v>0</v>
      </c>
      <c r="E1" s="125" t="s">
        <v>458</v>
      </c>
      <c r="F1" s="211">
        <f>SUM(E8*G8+E9*G9+E10*G10+E14*G14+E15*G15+E19*G19+E20*G20+E24*G24+E25*G25+E26*G26+E30*G30+E31*G31+E32*G32+E33*G33+E34*G34+E35*G35+E36*G36+E40*G40+E44*G44)</f>
        <v>0</v>
      </c>
      <c r="G1" s="125" t="s">
        <v>456</v>
      </c>
      <c r="H1" s="210">
        <f>SUM(E8*H8+E9*H9+E10*H10+E14*H14+E15*H15+E19*H19+E20*H20+E24*H24+E25*H25+E26*H26+E30*H30+E31*H31+E32*H32+E33*H33+E34*H34+E35*H35+E36*H36+E40*H40+E44*H44)</f>
        <v>0</v>
      </c>
    </row>
    <row r="2" spans="1:8" ht="18" x14ac:dyDescent="0.35">
      <c r="A2" s="331" t="s">
        <v>561</v>
      </c>
      <c r="B2" s="331"/>
      <c r="C2" s="331"/>
      <c r="D2" s="331"/>
      <c r="E2" s="331"/>
      <c r="F2" s="331"/>
      <c r="G2" s="331"/>
      <c r="H2" s="331"/>
    </row>
    <row r="3" spans="1:8" x14ac:dyDescent="0.3">
      <c r="A3" s="315"/>
      <c r="B3" s="315"/>
      <c r="C3" s="315"/>
      <c r="D3" s="315"/>
      <c r="E3" s="315"/>
      <c r="F3" s="315"/>
      <c r="G3" s="315"/>
      <c r="H3" s="315"/>
    </row>
    <row r="4" spans="1:8" ht="18" x14ac:dyDescent="0.35">
      <c r="A4" s="332" t="s">
        <v>342</v>
      </c>
      <c r="B4" s="332"/>
      <c r="C4" s="332"/>
      <c r="D4" s="332"/>
      <c r="E4" s="332"/>
      <c r="F4" s="332"/>
      <c r="G4" s="332"/>
      <c r="H4" s="332"/>
    </row>
    <row r="5" spans="1:8" ht="18" x14ac:dyDescent="0.35">
      <c r="A5" s="330" t="s">
        <v>343</v>
      </c>
      <c r="B5" s="330"/>
      <c r="C5" s="330"/>
      <c r="D5" s="330"/>
      <c r="E5" s="330"/>
      <c r="F5" s="330"/>
      <c r="G5" s="330"/>
      <c r="H5" s="330"/>
    </row>
    <row r="6" spans="1:8" ht="78" customHeight="1" x14ac:dyDescent="0.3">
      <c r="A6" s="314" t="s">
        <v>372</v>
      </c>
      <c r="B6" s="314"/>
      <c r="C6" s="314"/>
      <c r="D6" s="314"/>
      <c r="E6" s="314"/>
      <c r="F6" s="314"/>
      <c r="G6" s="314"/>
    </row>
    <row r="7" spans="1:8" ht="15.6" x14ac:dyDescent="0.3">
      <c r="A7" s="31" t="s">
        <v>18</v>
      </c>
      <c r="B7" s="31" t="s">
        <v>19</v>
      </c>
      <c r="C7" s="31"/>
      <c r="D7" s="31" t="s">
        <v>506</v>
      </c>
      <c r="E7" s="31" t="s">
        <v>460</v>
      </c>
      <c r="F7" s="31" t="s">
        <v>504</v>
      </c>
      <c r="G7" s="31" t="s">
        <v>459</v>
      </c>
      <c r="H7" s="31" t="s">
        <v>457</v>
      </c>
    </row>
    <row r="8" spans="1:8" ht="15.6" x14ac:dyDescent="0.3">
      <c r="A8" s="9" t="s">
        <v>347</v>
      </c>
      <c r="B8" s="9" t="s">
        <v>344</v>
      </c>
      <c r="C8" s="9"/>
      <c r="D8" s="144">
        <v>3660</v>
      </c>
      <c r="E8" s="291"/>
      <c r="F8" s="189">
        <f>SUM(D8-(D8*B1))</f>
        <v>3660</v>
      </c>
      <c r="G8" s="96"/>
      <c r="H8" s="96"/>
    </row>
    <row r="9" spans="1:8" ht="15.6" x14ac:dyDescent="0.3">
      <c r="A9" s="56" t="s">
        <v>348</v>
      </c>
      <c r="B9" s="56" t="s">
        <v>345</v>
      </c>
      <c r="C9" s="56"/>
      <c r="D9" s="187">
        <v>5490</v>
      </c>
      <c r="E9" s="292"/>
      <c r="F9" s="190">
        <f>SUM(D9-(D9*B1))</f>
        <v>5490</v>
      </c>
      <c r="G9" s="140"/>
      <c r="H9" s="140"/>
    </row>
    <row r="10" spans="1:8" ht="16.2" thickBot="1" x14ac:dyDescent="0.35">
      <c r="A10" s="22" t="s">
        <v>349</v>
      </c>
      <c r="B10" s="22" t="s">
        <v>346</v>
      </c>
      <c r="C10" s="22"/>
      <c r="D10" s="146">
        <v>6588</v>
      </c>
      <c r="E10" s="279"/>
      <c r="F10" s="191">
        <f>SUM(D10-(D10*B1))</f>
        <v>6588</v>
      </c>
      <c r="G10" s="23"/>
      <c r="H10" s="23"/>
    </row>
    <row r="11" spans="1:8" ht="18" x14ac:dyDescent="0.35">
      <c r="A11" s="330" t="s">
        <v>350</v>
      </c>
      <c r="B11" s="330"/>
      <c r="C11" s="330"/>
      <c r="D11" s="330"/>
      <c r="E11" s="330"/>
      <c r="F11" s="330"/>
      <c r="G11" s="330"/>
      <c r="H11" s="330"/>
    </row>
    <row r="12" spans="1:8" ht="78" customHeight="1" x14ac:dyDescent="0.3">
      <c r="A12" s="314" t="s">
        <v>371</v>
      </c>
      <c r="B12" s="314"/>
      <c r="C12" s="314"/>
      <c r="D12" s="314"/>
      <c r="E12" s="314"/>
      <c r="F12" s="314"/>
      <c r="G12" s="314"/>
    </row>
    <row r="13" spans="1:8" ht="15.6" x14ac:dyDescent="0.3">
      <c r="A13" s="31" t="s">
        <v>18</v>
      </c>
      <c r="B13" s="31" t="s">
        <v>19</v>
      </c>
      <c r="C13" s="31"/>
      <c r="D13" s="31" t="s">
        <v>506</v>
      </c>
      <c r="E13" s="31" t="s">
        <v>460</v>
      </c>
      <c r="F13" s="31" t="s">
        <v>504</v>
      </c>
      <c r="G13" s="31" t="s">
        <v>459</v>
      </c>
      <c r="H13" s="31" t="s">
        <v>457</v>
      </c>
    </row>
    <row r="14" spans="1:8" ht="15.6" x14ac:dyDescent="0.3">
      <c r="A14" s="9" t="s">
        <v>351</v>
      </c>
      <c r="B14" s="9" t="s">
        <v>358</v>
      </c>
      <c r="C14" s="9"/>
      <c r="D14" s="144">
        <v>4558</v>
      </c>
      <c r="E14" s="291"/>
      <c r="F14" s="189">
        <f>SUM(D14-(D14*B1))</f>
        <v>4558</v>
      </c>
      <c r="G14" s="96"/>
      <c r="H14" s="96"/>
    </row>
    <row r="15" spans="1:8" ht="16.2" thickBot="1" x14ac:dyDescent="0.35">
      <c r="A15" s="56" t="s">
        <v>352</v>
      </c>
      <c r="B15" s="56" t="s">
        <v>359</v>
      </c>
      <c r="C15" s="56"/>
      <c r="D15" s="188">
        <v>6836</v>
      </c>
      <c r="E15" s="293"/>
      <c r="F15" s="209">
        <f>SUM(D15-(D15*B1))</f>
        <v>6836</v>
      </c>
      <c r="G15" s="142"/>
      <c r="H15" s="142"/>
    </row>
    <row r="16" spans="1:8" ht="18" x14ac:dyDescent="0.35">
      <c r="A16" s="346" t="s">
        <v>353</v>
      </c>
      <c r="B16" s="346"/>
      <c r="C16" s="346"/>
      <c r="D16" s="346"/>
      <c r="E16" s="346"/>
      <c r="F16" s="346"/>
      <c r="G16" s="346"/>
      <c r="H16" s="346"/>
    </row>
    <row r="17" spans="1:8" ht="78" customHeight="1" x14ac:dyDescent="0.3">
      <c r="A17" s="314" t="s">
        <v>370</v>
      </c>
      <c r="B17" s="314"/>
      <c r="C17" s="314"/>
      <c r="D17" s="314"/>
      <c r="E17" s="314"/>
      <c r="F17" s="314"/>
      <c r="G17" s="314"/>
    </row>
    <row r="18" spans="1:8" ht="15.6" x14ac:dyDescent="0.3">
      <c r="A18" s="31" t="s">
        <v>18</v>
      </c>
      <c r="B18" s="31" t="s">
        <v>19</v>
      </c>
      <c r="C18" s="31"/>
      <c r="D18" s="31" t="s">
        <v>506</v>
      </c>
      <c r="E18" s="31" t="s">
        <v>460</v>
      </c>
      <c r="F18" s="31" t="s">
        <v>504</v>
      </c>
      <c r="G18" s="31" t="s">
        <v>459</v>
      </c>
      <c r="H18" s="31" t="s">
        <v>457</v>
      </c>
    </row>
    <row r="19" spans="1:8" ht="15.6" x14ac:dyDescent="0.3">
      <c r="A19" s="9" t="s">
        <v>354</v>
      </c>
      <c r="B19" s="9" t="s">
        <v>356</v>
      </c>
      <c r="C19" s="9"/>
      <c r="D19" s="144">
        <v>1470.0959999999998</v>
      </c>
      <c r="E19" s="291"/>
      <c r="F19" s="189">
        <f>SUM(D19-(D19*B1))</f>
        <v>1470.0959999999998</v>
      </c>
      <c r="G19" s="96"/>
      <c r="H19" s="96"/>
    </row>
    <row r="20" spans="1:8" ht="16.2" thickBot="1" x14ac:dyDescent="0.35">
      <c r="A20" s="57" t="s">
        <v>355</v>
      </c>
      <c r="B20" s="57" t="s">
        <v>357</v>
      </c>
      <c r="C20" s="57"/>
      <c r="D20" s="188">
        <v>2241</v>
      </c>
      <c r="E20" s="293"/>
      <c r="F20" s="209">
        <f>SUM(D20-(D20*B1))</f>
        <v>2241</v>
      </c>
      <c r="G20" s="142"/>
      <c r="H20" s="142"/>
    </row>
    <row r="21" spans="1:8" ht="18" x14ac:dyDescent="0.35">
      <c r="A21" s="346" t="s">
        <v>360</v>
      </c>
      <c r="B21" s="346"/>
      <c r="C21" s="346"/>
      <c r="D21" s="346"/>
      <c r="E21" s="346"/>
      <c r="F21" s="346"/>
      <c r="G21" s="346"/>
      <c r="H21" s="346"/>
    </row>
    <row r="22" spans="1:8" ht="78" customHeight="1" x14ac:dyDescent="0.3">
      <c r="A22" s="314" t="s">
        <v>369</v>
      </c>
      <c r="B22" s="314"/>
      <c r="C22" s="314"/>
      <c r="D22" s="314"/>
      <c r="E22" s="314"/>
      <c r="F22" s="314"/>
      <c r="G22" s="314"/>
      <c r="H22" s="96"/>
    </row>
    <row r="23" spans="1:8" ht="15.6" x14ac:dyDescent="0.3">
      <c r="A23" s="31" t="s">
        <v>18</v>
      </c>
      <c r="B23" s="31" t="s">
        <v>19</v>
      </c>
      <c r="C23" s="31"/>
      <c r="D23" s="31" t="s">
        <v>506</v>
      </c>
      <c r="E23" s="31" t="s">
        <v>460</v>
      </c>
      <c r="F23" s="31" t="s">
        <v>504</v>
      </c>
      <c r="G23" s="31" t="s">
        <v>459</v>
      </c>
      <c r="H23" s="31" t="s">
        <v>457</v>
      </c>
    </row>
    <row r="24" spans="1:8" ht="15.6" x14ac:dyDescent="0.3">
      <c r="A24" s="9" t="s">
        <v>361</v>
      </c>
      <c r="B24" s="9" t="s">
        <v>364</v>
      </c>
      <c r="C24" s="9"/>
      <c r="D24" s="144">
        <v>398.15100000000001</v>
      </c>
      <c r="E24" s="291"/>
      <c r="F24" s="189">
        <f>SUM(D24-(D24*B1))</f>
        <v>398.15100000000001</v>
      </c>
      <c r="G24" s="96"/>
      <c r="H24" s="96"/>
    </row>
    <row r="25" spans="1:8" ht="15.6" x14ac:dyDescent="0.3">
      <c r="A25" s="56" t="s">
        <v>362</v>
      </c>
      <c r="B25" s="56" t="s">
        <v>365</v>
      </c>
      <c r="C25" s="56"/>
      <c r="D25" s="187">
        <v>757.45799999999997</v>
      </c>
      <c r="E25" s="292"/>
      <c r="F25" s="190">
        <f>SUM(D25-(D25*B1))</f>
        <v>757.45799999999997</v>
      </c>
      <c r="G25" s="140"/>
      <c r="H25" s="140"/>
    </row>
    <row r="26" spans="1:8" ht="16.2" thickBot="1" x14ac:dyDescent="0.35">
      <c r="A26" s="9" t="s">
        <v>363</v>
      </c>
      <c r="B26" s="9" t="s">
        <v>366</v>
      </c>
      <c r="C26" s="9"/>
      <c r="D26" s="146">
        <v>1213.875</v>
      </c>
      <c r="E26" s="279"/>
      <c r="F26" s="191">
        <f>SUM(D26-(D26*B1))</f>
        <v>1213.875</v>
      </c>
      <c r="G26" s="23"/>
      <c r="H26" s="23"/>
    </row>
    <row r="27" spans="1:8" ht="18" x14ac:dyDescent="0.35">
      <c r="A27" s="346" t="s">
        <v>367</v>
      </c>
      <c r="B27" s="346"/>
      <c r="C27" s="346"/>
      <c r="D27" s="346"/>
      <c r="E27" s="346"/>
      <c r="F27" s="346"/>
      <c r="G27" s="346"/>
      <c r="H27" s="346"/>
    </row>
    <row r="28" spans="1:8" ht="78" customHeight="1" x14ac:dyDescent="0.3">
      <c r="A28" s="314" t="s">
        <v>368</v>
      </c>
      <c r="B28" s="314"/>
      <c r="C28" s="314"/>
      <c r="D28" s="314"/>
      <c r="E28" s="314"/>
      <c r="F28" s="314"/>
      <c r="G28" s="314"/>
      <c r="H28" s="96"/>
    </row>
    <row r="29" spans="1:8" ht="15.6" x14ac:dyDescent="0.3">
      <c r="A29" s="31" t="s">
        <v>18</v>
      </c>
      <c r="B29" s="31" t="s">
        <v>19</v>
      </c>
      <c r="C29" s="31"/>
      <c r="D29" s="31" t="s">
        <v>506</v>
      </c>
      <c r="E29" s="31" t="s">
        <v>460</v>
      </c>
      <c r="F29" s="31" t="s">
        <v>504</v>
      </c>
      <c r="G29" s="31" t="s">
        <v>459</v>
      </c>
      <c r="H29" s="31" t="s">
        <v>457</v>
      </c>
    </row>
    <row r="30" spans="1:8" ht="15.6" x14ac:dyDescent="0.3">
      <c r="A30" s="45" t="s">
        <v>524</v>
      </c>
      <c r="B30" s="45" t="s">
        <v>373</v>
      </c>
      <c r="C30" s="136"/>
      <c r="D30" s="144">
        <v>466.12800000000004</v>
      </c>
      <c r="E30" s="291"/>
      <c r="F30" s="189">
        <f>SUM(D30-(D30*B1))</f>
        <v>466.12800000000004</v>
      </c>
      <c r="G30" s="96"/>
      <c r="H30" s="96"/>
    </row>
    <row r="31" spans="1:8" ht="15.6" x14ac:dyDescent="0.3">
      <c r="A31" s="58" t="s">
        <v>525</v>
      </c>
      <c r="B31" s="58" t="s">
        <v>374</v>
      </c>
      <c r="C31" s="93"/>
      <c r="D31" s="187">
        <v>475.83900000000006</v>
      </c>
      <c r="E31" s="292"/>
      <c r="F31" s="190">
        <f>SUM(D31-(D31*B1))</f>
        <v>475.83900000000006</v>
      </c>
      <c r="G31" s="140"/>
      <c r="H31" s="140"/>
    </row>
    <row r="32" spans="1:8" ht="15.6" x14ac:dyDescent="0.3">
      <c r="A32" s="45" t="s">
        <v>526</v>
      </c>
      <c r="B32" s="45" t="s">
        <v>375</v>
      </c>
      <c r="C32" s="136"/>
      <c r="D32" s="144">
        <v>553.52700000000004</v>
      </c>
      <c r="E32" s="291"/>
      <c r="F32" s="189">
        <f>SUM(D32-(D32*B1))</f>
        <v>553.52700000000004</v>
      </c>
      <c r="G32" s="96"/>
      <c r="H32" s="96"/>
    </row>
    <row r="33" spans="1:8" ht="15.6" x14ac:dyDescent="0.3">
      <c r="A33" s="58" t="s">
        <v>527</v>
      </c>
      <c r="B33" s="58" t="s">
        <v>376</v>
      </c>
      <c r="C33" s="93"/>
      <c r="D33" s="187">
        <v>1029.3660000000002</v>
      </c>
      <c r="E33" s="292"/>
      <c r="F33" s="190">
        <f>SUM(D33-(D33*B1))</f>
        <v>1029.3660000000002</v>
      </c>
      <c r="G33" s="140"/>
      <c r="H33" s="140"/>
    </row>
    <row r="34" spans="1:8" ht="15.6" x14ac:dyDescent="0.3">
      <c r="A34" s="45" t="s">
        <v>528</v>
      </c>
      <c r="B34" s="45" t="s">
        <v>377</v>
      </c>
      <c r="C34" s="15"/>
      <c r="D34" s="144">
        <v>2223.819</v>
      </c>
      <c r="E34" s="284"/>
      <c r="F34" s="189">
        <f>SUM(D34-(D34*B1))</f>
        <v>2223.819</v>
      </c>
      <c r="H34" s="96"/>
    </row>
    <row r="35" spans="1:8" ht="15.6" x14ac:dyDescent="0.3">
      <c r="A35" s="58" t="s">
        <v>529</v>
      </c>
      <c r="B35" s="58" t="s">
        <v>378</v>
      </c>
      <c r="C35" s="93"/>
      <c r="D35" s="187">
        <v>466.12800000000004</v>
      </c>
      <c r="E35" s="292"/>
      <c r="F35" s="190">
        <f>SUM(D35-(D35*B1))</f>
        <v>466.12800000000004</v>
      </c>
      <c r="G35" s="140"/>
      <c r="H35" s="140"/>
    </row>
    <row r="36" spans="1:8" ht="16.2" thickBot="1" x14ac:dyDescent="0.35">
      <c r="A36" s="53" t="s">
        <v>530</v>
      </c>
      <c r="B36" s="53" t="s">
        <v>379</v>
      </c>
      <c r="C36" s="94"/>
      <c r="D36" s="144">
        <v>524.39400000000012</v>
      </c>
      <c r="E36" s="279"/>
      <c r="F36" s="191">
        <f>SUM(D36-(D36*B1))</f>
        <v>524.39400000000012</v>
      </c>
      <c r="G36" s="23"/>
      <c r="H36" s="23"/>
    </row>
    <row r="37" spans="1:8" ht="18" x14ac:dyDescent="0.3">
      <c r="A37" s="345" t="s">
        <v>380</v>
      </c>
      <c r="B37" s="345"/>
      <c r="C37" s="345"/>
      <c r="D37" s="345"/>
      <c r="E37" s="345"/>
      <c r="F37" s="345"/>
      <c r="G37" s="345"/>
      <c r="H37" s="345"/>
    </row>
    <row r="38" spans="1:8" ht="78" customHeight="1" x14ac:dyDescent="0.3">
      <c r="A38" s="314" t="s">
        <v>389</v>
      </c>
      <c r="B38" s="314"/>
      <c r="C38" s="314"/>
      <c r="D38" s="314"/>
      <c r="E38" s="314"/>
      <c r="F38" s="314"/>
      <c r="G38" s="314"/>
      <c r="H38" s="96"/>
    </row>
    <row r="39" spans="1:8" ht="15.6" x14ac:dyDescent="0.3">
      <c r="A39" s="31" t="s">
        <v>18</v>
      </c>
      <c r="B39" s="31" t="s">
        <v>19</v>
      </c>
      <c r="C39" s="31"/>
      <c r="D39" s="31" t="s">
        <v>506</v>
      </c>
      <c r="E39" s="31" t="s">
        <v>460</v>
      </c>
      <c r="F39" s="31" t="s">
        <v>504</v>
      </c>
      <c r="G39" s="31" t="s">
        <v>459</v>
      </c>
      <c r="H39" s="31" t="s">
        <v>457</v>
      </c>
    </row>
    <row r="40" spans="1:8" ht="16.2" thickBot="1" x14ac:dyDescent="0.35">
      <c r="A40" s="53" t="s">
        <v>383</v>
      </c>
      <c r="B40" s="22" t="s">
        <v>381</v>
      </c>
      <c r="C40" s="23"/>
      <c r="D40" s="157">
        <v>2628</v>
      </c>
      <c r="E40" s="279"/>
      <c r="F40" s="191">
        <f>SUM(D40-(D40*B1))</f>
        <v>2628</v>
      </c>
      <c r="G40" s="23"/>
      <c r="H40" s="23"/>
    </row>
    <row r="41" spans="1:8" ht="18" x14ac:dyDescent="0.35">
      <c r="A41" s="346" t="s">
        <v>382</v>
      </c>
      <c r="B41" s="346"/>
      <c r="C41" s="346"/>
      <c r="D41" s="346"/>
      <c r="E41" s="346"/>
      <c r="F41" s="346"/>
      <c r="G41" s="346"/>
      <c r="H41" s="346"/>
    </row>
    <row r="42" spans="1:8" ht="78" customHeight="1" x14ac:dyDescent="0.3">
      <c r="A42" s="314" t="s">
        <v>386</v>
      </c>
      <c r="B42" s="314"/>
      <c r="C42" s="314"/>
      <c r="D42" s="314"/>
      <c r="E42" s="314"/>
      <c r="F42" s="314"/>
      <c r="G42" s="314"/>
      <c r="H42" s="96"/>
    </row>
    <row r="43" spans="1:8" ht="15.6" x14ac:dyDescent="0.3">
      <c r="A43" s="31" t="s">
        <v>18</v>
      </c>
      <c r="B43" s="31" t="s">
        <v>19</v>
      </c>
      <c r="C43" s="31"/>
      <c r="D43" s="31" t="s">
        <v>506</v>
      </c>
      <c r="E43" s="31" t="s">
        <v>460</v>
      </c>
      <c r="F43" s="31" t="s">
        <v>504</v>
      </c>
      <c r="G43" s="31" t="s">
        <v>459</v>
      </c>
      <c r="H43" s="31" t="s">
        <v>457</v>
      </c>
    </row>
    <row r="44" spans="1:8" ht="16.2" thickBot="1" x14ac:dyDescent="0.35">
      <c r="A44" s="53" t="s">
        <v>384</v>
      </c>
      <c r="B44" s="53" t="s">
        <v>385</v>
      </c>
      <c r="C44" s="23"/>
      <c r="D44" s="157">
        <v>2620</v>
      </c>
      <c r="E44" s="279"/>
      <c r="F44" s="191">
        <f>SUM(D44-(D44*B1))</f>
        <v>2620</v>
      </c>
      <c r="G44" s="23"/>
      <c r="H44" s="23"/>
    </row>
  </sheetData>
  <mergeCells count="17">
    <mergeCell ref="A27:H27"/>
    <mergeCell ref="A28:G28"/>
    <mergeCell ref="A42:G42"/>
    <mergeCell ref="A2:H2"/>
    <mergeCell ref="A3:H3"/>
    <mergeCell ref="A37:H37"/>
    <mergeCell ref="A38:G38"/>
    <mergeCell ref="A41:H41"/>
    <mergeCell ref="A4:H4"/>
    <mergeCell ref="A5:H5"/>
    <mergeCell ref="A6:G6"/>
    <mergeCell ref="A11:H11"/>
    <mergeCell ref="A12:G12"/>
    <mergeCell ref="A16:H16"/>
    <mergeCell ref="A17:G17"/>
    <mergeCell ref="A21:H21"/>
    <mergeCell ref="A22:G22"/>
  </mergeCells>
  <hyperlinks>
    <hyperlink ref="A5" r:id="rId1"/>
    <hyperlink ref="A11:D11" r:id="rId2" display="ALU R"/>
    <hyperlink ref="A16:D16" r:id="rId3" display="DUCT"/>
    <hyperlink ref="A21:D21" r:id="rId4" display="PVC 050"/>
    <hyperlink ref="A27:D27" r:id="rId5" display="GT"/>
    <hyperlink ref="A37:D37" r:id="rId6" display="ASB"/>
    <hyperlink ref="A41" r:id="rId7"/>
  </hyperlinks>
  <pageMargins left="0.7" right="0.7" top="0.75" bottom="0.75" header="0.3" footer="0.3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N62"/>
  <sheetViews>
    <sheetView showRowColHeaders="0" zoomScale="85" zoomScaleNormal="85" workbookViewId="0">
      <pane ySplit="1" topLeftCell="A17" activePane="bottomLeft" state="frozen"/>
      <selection pane="bottomLeft" activeCell="K41" sqref="K41"/>
    </sheetView>
  </sheetViews>
  <sheetFormatPr defaultRowHeight="14.4" x14ac:dyDescent="0.3"/>
  <cols>
    <col min="1" max="8" width="20.77734375" customWidth="1"/>
  </cols>
  <sheetData>
    <row r="1" spans="1:14" ht="30" customHeight="1" thickBot="1" x14ac:dyDescent="0.45">
      <c r="A1" s="108" t="s">
        <v>455</v>
      </c>
      <c r="B1" s="237">
        <f>Содержание!D15</f>
        <v>0</v>
      </c>
      <c r="C1" s="108" t="s">
        <v>522</v>
      </c>
      <c r="D1" s="236">
        <f>SUM(E8*F8+E9*F9+E10*F10+E11*F11+E12*F12+E13*F13+E14*F14+E18*F18+E19*F19+E20*F20+E21*F21+E22*F22+E23*F23+E24*F24+E25*F25+E26*F26+E27*F27+E28*F28+E33*F33+E34*F34+E35*F35+E36*F36+E37*F37+E38*F38+E39*F39+E40*F40+E41*F41+E42*F42+E43*F43+E50*F50+E51*F51+E52*F52+E53*F53+E54*F54+E55*F55)</f>
        <v>0</v>
      </c>
      <c r="E1" s="108" t="s">
        <v>458</v>
      </c>
      <c r="F1" s="235">
        <f>SUM(E8*G8+E9*G9+E10*G10+E11*G11+E12*G12+E13*G13+E14*G14+E18*G18+E19*G19+E20*G20+E21*G21+E22*G22+E23*G23+E24*G24+E25*G25+E26*G26+E27*G27+E28*G28+E33*G33+E34*G34+E35*G35+E36*G36+E37*G37+E38*G38+E39*G39+E40*G40+E41*G41+E42*G42+E43*G43)</f>
        <v>0</v>
      </c>
      <c r="G1" s="108" t="s">
        <v>456</v>
      </c>
      <c r="H1" s="234">
        <f>SUM(E8*H8+E9*H9+E10*H10+E11*H11+E12*H12+E13*H13+E14*H14+E18*H18+E19*H19+E20*H20+E21*H21+E22*H22+E23*H23+E24*H24+E25*H25+E26*H26+E27*H27+E28*H28+E33*H33+E34*H34+E35*H35+E36*H36+E37*H37+E38*H38+E39*H39+E40*H40+E41*H41+E42*H42+E43*H43)</f>
        <v>0</v>
      </c>
      <c r="I1" s="2"/>
      <c r="J1" s="2"/>
      <c r="K1" s="2"/>
      <c r="L1" s="1"/>
      <c r="M1" s="1"/>
      <c r="N1" s="1"/>
    </row>
    <row r="2" spans="1:14" ht="18" x14ac:dyDescent="0.35">
      <c r="A2" s="312" t="s">
        <v>561</v>
      </c>
      <c r="B2" s="312"/>
      <c r="C2" s="312"/>
      <c r="D2" s="312"/>
      <c r="E2" s="312"/>
      <c r="F2" s="312"/>
      <c r="G2" s="312"/>
      <c r="H2" s="312"/>
    </row>
    <row r="3" spans="1:14" ht="15" thickBot="1" x14ac:dyDescent="0.35">
      <c r="A3" s="315"/>
      <c r="B3" s="315"/>
      <c r="C3" s="315"/>
      <c r="D3" s="315"/>
      <c r="E3" s="315"/>
      <c r="F3" s="315"/>
      <c r="G3" s="315"/>
      <c r="H3" s="315"/>
    </row>
    <row r="4" spans="1:14" ht="18.75" customHeight="1" x14ac:dyDescent="0.3">
      <c r="A4" s="317" t="s">
        <v>2</v>
      </c>
      <c r="B4" s="317"/>
      <c r="C4" s="317"/>
      <c r="D4" s="317"/>
      <c r="E4" s="317"/>
      <c r="F4" s="317"/>
      <c r="G4" s="317"/>
      <c r="H4" s="317"/>
    </row>
    <row r="5" spans="1:14" ht="18.75" customHeight="1" x14ac:dyDescent="0.35">
      <c r="A5" s="318" t="s">
        <v>534</v>
      </c>
      <c r="B5" s="318"/>
      <c r="C5" s="318"/>
      <c r="D5" s="318"/>
      <c r="E5" s="318"/>
      <c r="F5" s="318"/>
      <c r="G5" s="318"/>
      <c r="H5" s="318"/>
    </row>
    <row r="6" spans="1:14" ht="78" customHeight="1" x14ac:dyDescent="0.3">
      <c r="A6" s="314" t="s">
        <v>393</v>
      </c>
      <c r="B6" s="314"/>
      <c r="C6" s="314"/>
      <c r="D6" s="314"/>
      <c r="E6" s="314"/>
      <c r="F6" s="314"/>
      <c r="G6" s="314"/>
      <c r="H6" s="96"/>
    </row>
    <row r="7" spans="1:14" ht="15.6" x14ac:dyDescent="0.3">
      <c r="A7" s="20" t="s">
        <v>18</v>
      </c>
      <c r="B7" s="20" t="s">
        <v>19</v>
      </c>
      <c r="C7" s="20"/>
      <c r="D7" s="20" t="s">
        <v>506</v>
      </c>
      <c r="E7" s="20" t="s">
        <v>460</v>
      </c>
      <c r="F7" s="20" t="s">
        <v>504</v>
      </c>
      <c r="G7" s="20" t="s">
        <v>459</v>
      </c>
      <c r="H7" s="20" t="s">
        <v>457</v>
      </c>
    </row>
    <row r="8" spans="1:14" ht="15.6" x14ac:dyDescent="0.3">
      <c r="A8" s="9" t="s">
        <v>535</v>
      </c>
      <c r="B8" s="9" t="s">
        <v>536</v>
      </c>
      <c r="C8" s="9"/>
      <c r="D8" s="147">
        <v>3011</v>
      </c>
      <c r="E8" s="265"/>
      <c r="F8" s="192">
        <f>SUM(D8-(D8*$B$1))</f>
        <v>3011</v>
      </c>
      <c r="G8" s="149">
        <v>1.3774999999999999</v>
      </c>
      <c r="H8" s="152">
        <f>11.6*11.6*39/1000000</f>
        <v>5.2478400000000001E-3</v>
      </c>
    </row>
    <row r="9" spans="1:14" ht="15.6" x14ac:dyDescent="0.3">
      <c r="A9" s="21" t="s">
        <v>543</v>
      </c>
      <c r="B9" s="21" t="s">
        <v>537</v>
      </c>
      <c r="C9" s="21"/>
      <c r="D9" s="148">
        <v>3652</v>
      </c>
      <c r="E9" s="266"/>
      <c r="F9" s="193">
        <f t="shared" ref="F9:F14" si="0">SUM(D9-(D9*$B$1))</f>
        <v>3652</v>
      </c>
      <c r="G9" s="150">
        <v>1.3791</v>
      </c>
      <c r="H9" s="153">
        <f>14*14*40/1000000</f>
        <v>7.8399999999999997E-3</v>
      </c>
    </row>
    <row r="10" spans="1:14" ht="15.6" x14ac:dyDescent="0.3">
      <c r="A10" s="9" t="s">
        <v>544</v>
      </c>
      <c r="B10" s="9" t="s">
        <v>538</v>
      </c>
      <c r="C10" s="9"/>
      <c r="D10" s="147">
        <v>4296</v>
      </c>
      <c r="E10" s="265"/>
      <c r="F10" s="192">
        <f t="shared" si="0"/>
        <v>4296</v>
      </c>
      <c r="G10" s="149">
        <v>1.6434</v>
      </c>
      <c r="H10" s="152">
        <f>17*17*40/1000000</f>
        <v>1.1560000000000001E-2</v>
      </c>
    </row>
    <row r="11" spans="1:14" ht="15.6" x14ac:dyDescent="0.3">
      <c r="A11" s="21" t="s">
        <v>545</v>
      </c>
      <c r="B11" s="21" t="s">
        <v>539</v>
      </c>
      <c r="C11" s="21"/>
      <c r="D11" s="148">
        <v>4425</v>
      </c>
      <c r="E11" s="266"/>
      <c r="F11" s="193">
        <f t="shared" si="0"/>
        <v>4425</v>
      </c>
      <c r="G11" s="150">
        <v>1.7128000000000001</v>
      </c>
      <c r="H11" s="153">
        <f>17*17*40/1000000</f>
        <v>1.1560000000000001E-2</v>
      </c>
    </row>
    <row r="12" spans="1:14" ht="15.6" x14ac:dyDescent="0.3">
      <c r="A12" s="9" t="s">
        <v>546</v>
      </c>
      <c r="B12" s="9" t="s">
        <v>540</v>
      </c>
      <c r="C12" s="9"/>
      <c r="D12" s="147">
        <v>5636</v>
      </c>
      <c r="E12" s="265"/>
      <c r="F12" s="192">
        <f t="shared" si="0"/>
        <v>5636</v>
      </c>
      <c r="G12" s="149">
        <v>2.2804000000000002</v>
      </c>
      <c r="H12" s="152">
        <f>21.5*21.5*39/1000000</f>
        <v>1.8027749999999999E-2</v>
      </c>
    </row>
    <row r="13" spans="1:14" ht="15.6" x14ac:dyDescent="0.3">
      <c r="A13" s="21" t="s">
        <v>547</v>
      </c>
      <c r="B13" s="21" t="s">
        <v>541</v>
      </c>
      <c r="C13" s="21"/>
      <c r="D13" s="148">
        <v>5744</v>
      </c>
      <c r="E13" s="266"/>
      <c r="F13" s="193">
        <f t="shared" si="0"/>
        <v>5744</v>
      </c>
      <c r="G13" s="150">
        <v>3.5627</v>
      </c>
      <c r="H13" s="153">
        <f>27*27*39/1000000</f>
        <v>2.8431000000000001E-2</v>
      </c>
    </row>
    <row r="14" spans="1:14" ht="16.2" thickBot="1" x14ac:dyDescent="0.35">
      <c r="A14" s="22" t="s">
        <v>548</v>
      </c>
      <c r="B14" s="22" t="s">
        <v>542</v>
      </c>
      <c r="C14" s="22"/>
      <c r="D14" s="169">
        <v>9444</v>
      </c>
      <c r="E14" s="267"/>
      <c r="F14" s="194">
        <f t="shared" si="0"/>
        <v>9444</v>
      </c>
      <c r="G14" s="151">
        <v>4.3848000000000003</v>
      </c>
      <c r="H14" s="154">
        <f>32*32*39/1000000</f>
        <v>3.9935999999999999E-2</v>
      </c>
    </row>
    <row r="15" spans="1:14" ht="78" customHeight="1" x14ac:dyDescent="0.35">
      <c r="A15" s="316" t="s">
        <v>461</v>
      </c>
      <c r="B15" s="316"/>
      <c r="C15" s="316"/>
      <c r="D15" s="316"/>
      <c r="E15" s="316"/>
      <c r="F15" s="316"/>
      <c r="G15" s="316"/>
      <c r="H15" s="316"/>
    </row>
    <row r="16" spans="1:14" ht="15.6" customHeight="1" x14ac:dyDescent="0.3">
      <c r="A16" s="314" t="s">
        <v>393</v>
      </c>
      <c r="B16" s="314"/>
      <c r="C16" s="314"/>
      <c r="D16" s="314"/>
      <c r="E16" s="314"/>
      <c r="F16" s="314"/>
      <c r="G16" s="314"/>
      <c r="H16" s="96"/>
    </row>
    <row r="17" spans="1:8" ht="15.6" x14ac:dyDescent="0.3">
      <c r="A17" s="20" t="s">
        <v>18</v>
      </c>
      <c r="B17" s="20" t="s">
        <v>19</v>
      </c>
      <c r="C17" s="20"/>
      <c r="D17" s="20" t="s">
        <v>506</v>
      </c>
      <c r="E17" s="20" t="s">
        <v>460</v>
      </c>
      <c r="F17" s="20" t="s">
        <v>504</v>
      </c>
      <c r="G17" s="20" t="s">
        <v>459</v>
      </c>
      <c r="H17" s="20" t="s">
        <v>457</v>
      </c>
    </row>
    <row r="18" spans="1:8" ht="15.6" x14ac:dyDescent="0.3">
      <c r="A18" s="9" t="s">
        <v>20</v>
      </c>
      <c r="B18" s="9" t="s">
        <v>31</v>
      </c>
      <c r="C18" s="9"/>
      <c r="D18" s="147">
        <v>3312.1000000000004</v>
      </c>
      <c r="E18" s="265"/>
      <c r="F18" s="192">
        <f>SUM(D18-(D18*B1))</f>
        <v>3312.1000000000004</v>
      </c>
      <c r="G18" s="149">
        <v>1.3774999999999999</v>
      </c>
      <c r="H18" s="152">
        <f>11.6*11.6*39/1000000</f>
        <v>5.2478400000000001E-3</v>
      </c>
    </row>
    <row r="19" spans="1:8" ht="15.6" x14ac:dyDescent="0.3">
      <c r="A19" s="21" t="s">
        <v>21</v>
      </c>
      <c r="B19" s="21" t="s">
        <v>32</v>
      </c>
      <c r="C19" s="21"/>
      <c r="D19" s="148">
        <v>4017.2000000000003</v>
      </c>
      <c r="E19" s="266"/>
      <c r="F19" s="193">
        <f>SUM(D19-(D19*B1))</f>
        <v>4017.2000000000003</v>
      </c>
      <c r="G19" s="150">
        <v>1.3791</v>
      </c>
      <c r="H19" s="153">
        <f>14*14*40/1000000</f>
        <v>7.8399999999999997E-3</v>
      </c>
    </row>
    <row r="20" spans="1:8" ht="15.6" x14ac:dyDescent="0.3">
      <c r="A20" s="9" t="s">
        <v>22</v>
      </c>
      <c r="B20" s="9" t="s">
        <v>33</v>
      </c>
      <c r="C20" s="9"/>
      <c r="D20" s="147">
        <v>4725.6000000000004</v>
      </c>
      <c r="E20" s="265"/>
      <c r="F20" s="192">
        <f>SUM(D20-(D20*B1))</f>
        <v>4725.6000000000004</v>
      </c>
      <c r="G20" s="149">
        <v>1.6434</v>
      </c>
      <c r="H20" s="152">
        <f>17*17*40/1000000</f>
        <v>1.1560000000000001E-2</v>
      </c>
    </row>
    <row r="21" spans="1:8" ht="15.6" x14ac:dyDescent="0.3">
      <c r="A21" s="21" t="s">
        <v>23</v>
      </c>
      <c r="B21" s="21" t="s">
        <v>34</v>
      </c>
      <c r="C21" s="21"/>
      <c r="D21" s="148">
        <v>4867.5</v>
      </c>
      <c r="E21" s="266"/>
      <c r="F21" s="193">
        <f>SUM(D21-(D21*B1))</f>
        <v>4867.5</v>
      </c>
      <c r="G21" s="150">
        <v>1.7128000000000001</v>
      </c>
      <c r="H21" s="153">
        <f>17*17*40/1000000</f>
        <v>1.1560000000000001E-2</v>
      </c>
    </row>
    <row r="22" spans="1:8" ht="15.6" x14ac:dyDescent="0.3">
      <c r="A22" s="9" t="s">
        <v>24</v>
      </c>
      <c r="B22" s="9" t="s">
        <v>35</v>
      </c>
      <c r="C22" s="9"/>
      <c r="D22" s="147">
        <v>6199.6</v>
      </c>
      <c r="E22" s="265"/>
      <c r="F22" s="192">
        <f>SUM(D22-(D22*B1))</f>
        <v>6199.6</v>
      </c>
      <c r="G22" s="149">
        <v>2.2804000000000002</v>
      </c>
      <c r="H22" s="152">
        <f>21.5*21.5*39/1000000</f>
        <v>1.8027749999999999E-2</v>
      </c>
    </row>
    <row r="23" spans="1:8" ht="15.6" x14ac:dyDescent="0.3">
      <c r="A23" s="21" t="s">
        <v>25</v>
      </c>
      <c r="B23" s="21" t="s">
        <v>36</v>
      </c>
      <c r="C23" s="21"/>
      <c r="D23" s="148">
        <v>6318.4000000000005</v>
      </c>
      <c r="E23" s="266"/>
      <c r="F23" s="193">
        <f>SUM(D23-(D23*B1))</f>
        <v>6318.4000000000005</v>
      </c>
      <c r="G23" s="150">
        <v>3.5627</v>
      </c>
      <c r="H23" s="153">
        <f>27*27*39/1000000</f>
        <v>2.8431000000000001E-2</v>
      </c>
    </row>
    <row r="24" spans="1:8" ht="15.6" x14ac:dyDescent="0.3">
      <c r="A24" s="9" t="s">
        <v>26</v>
      </c>
      <c r="B24" s="9" t="s">
        <v>37</v>
      </c>
      <c r="C24" s="9"/>
      <c r="D24" s="147">
        <v>10388.400000000001</v>
      </c>
      <c r="E24" s="265"/>
      <c r="F24" s="192">
        <f>SUM(D24-(D24*B1))</f>
        <v>10388.400000000001</v>
      </c>
      <c r="G24" s="149">
        <v>4.3848000000000003</v>
      </c>
      <c r="H24" s="152">
        <f>32*32*39/1000000</f>
        <v>3.9935999999999999E-2</v>
      </c>
    </row>
    <row r="25" spans="1:8" ht="15.6" x14ac:dyDescent="0.3">
      <c r="A25" s="21" t="s">
        <v>27</v>
      </c>
      <c r="B25" s="21" t="s">
        <v>38</v>
      </c>
      <c r="C25" s="21"/>
      <c r="D25" s="148">
        <v>12465.936</v>
      </c>
      <c r="E25" s="266"/>
      <c r="F25" s="193">
        <f>SUM(D25-(D25*B1))</f>
        <v>12465.936</v>
      </c>
      <c r="G25" s="150">
        <v>5.7384000000000004</v>
      </c>
      <c r="H25" s="153">
        <f>37*37*48/1000000</f>
        <v>6.5712000000000007E-2</v>
      </c>
    </row>
    <row r="26" spans="1:8" ht="15.6" x14ac:dyDescent="0.3">
      <c r="A26" s="9" t="s">
        <v>28</v>
      </c>
      <c r="B26" s="9" t="s">
        <v>39</v>
      </c>
      <c r="C26" s="9"/>
      <c r="D26" s="147">
        <v>15621.263999999999</v>
      </c>
      <c r="E26" s="265"/>
      <c r="F26" s="192">
        <f>SUM(D26-(D26*B1))</f>
        <v>15621.263999999999</v>
      </c>
      <c r="G26" s="149">
        <v>6.5801999999999996</v>
      </c>
      <c r="H26" s="152">
        <f>42*42*48/1000000</f>
        <v>8.4671999999999997E-2</v>
      </c>
    </row>
    <row r="27" spans="1:8" ht="15.6" x14ac:dyDescent="0.3">
      <c r="A27" s="21" t="s">
        <v>29</v>
      </c>
      <c r="B27" s="21" t="s">
        <v>40</v>
      </c>
      <c r="C27" s="21"/>
      <c r="D27" s="148">
        <v>21219.580800000003</v>
      </c>
      <c r="E27" s="266"/>
      <c r="F27" s="193">
        <f>SUM(D27-(D27*B1))</f>
        <v>21219.580800000003</v>
      </c>
      <c r="G27" s="150">
        <v>8.9463000000000008</v>
      </c>
      <c r="H27" s="153">
        <f>47*47*80/1000000</f>
        <v>0.17671999999999999</v>
      </c>
    </row>
    <row r="28" spans="1:8" ht="16.2" thickBot="1" x14ac:dyDescent="0.35">
      <c r="A28" s="22" t="s">
        <v>30</v>
      </c>
      <c r="B28" s="22" t="s">
        <v>41</v>
      </c>
      <c r="C28" s="22"/>
      <c r="D28" s="147">
        <v>27047.376000000004</v>
      </c>
      <c r="E28" s="267"/>
      <c r="F28" s="194">
        <f>SUM(D28-(D28*B1))</f>
        <v>27047.376000000004</v>
      </c>
      <c r="G28" s="151">
        <v>9.9383999999999997</v>
      </c>
      <c r="H28" s="154">
        <f>52*52*80/1000000</f>
        <v>0.21632000000000001</v>
      </c>
    </row>
    <row r="29" spans="1:8" ht="78" customHeight="1" x14ac:dyDescent="0.35">
      <c r="A29" s="313" t="s">
        <v>42</v>
      </c>
      <c r="B29" s="313"/>
      <c r="C29" s="313"/>
      <c r="D29" s="313"/>
      <c r="E29" s="313"/>
      <c r="F29" s="313"/>
      <c r="G29" s="313"/>
      <c r="H29" s="313"/>
    </row>
    <row r="30" spans="1:8" ht="15.6" x14ac:dyDescent="0.3">
      <c r="A30" s="314" t="s">
        <v>509</v>
      </c>
      <c r="B30" s="314"/>
      <c r="C30" s="314"/>
      <c r="D30" s="314"/>
      <c r="E30" s="314"/>
      <c r="F30" s="314"/>
      <c r="G30" s="314"/>
      <c r="H30" s="100"/>
    </row>
    <row r="31" spans="1:8" ht="15.6" x14ac:dyDescent="0.3">
      <c r="A31" s="314" t="s">
        <v>551</v>
      </c>
      <c r="B31" s="314"/>
      <c r="C31" s="314"/>
      <c r="D31" s="314"/>
      <c r="E31" s="314"/>
      <c r="F31" s="314"/>
      <c r="G31" s="314"/>
      <c r="H31" s="100"/>
    </row>
    <row r="32" spans="1:8" ht="15.6" x14ac:dyDescent="0.3">
      <c r="A32" s="20" t="s">
        <v>18</v>
      </c>
      <c r="B32" s="20" t="s">
        <v>19</v>
      </c>
      <c r="C32" s="20"/>
      <c r="D32" s="20" t="s">
        <v>503</v>
      </c>
      <c r="E32" s="102" t="s">
        <v>460</v>
      </c>
      <c r="F32" s="20" t="s">
        <v>504</v>
      </c>
      <c r="G32" s="20" t="s">
        <v>459</v>
      </c>
      <c r="H32" s="20" t="s">
        <v>457</v>
      </c>
    </row>
    <row r="33" spans="1:8" ht="15.6" x14ac:dyDescent="0.3">
      <c r="A33" s="9" t="s">
        <v>54</v>
      </c>
      <c r="B33" s="9" t="s">
        <v>43</v>
      </c>
      <c r="C33" s="9"/>
      <c r="D33" s="147">
        <v>3643.3100000000009</v>
      </c>
      <c r="E33" s="262"/>
      <c r="F33" s="192">
        <f>SUM(D33-(D33*B1))</f>
        <v>3643.3100000000009</v>
      </c>
      <c r="G33" s="68">
        <v>1.5258</v>
      </c>
      <c r="H33" s="97">
        <f>11.6*11.6*58/1000000</f>
        <v>7.8044800000000008E-3</v>
      </c>
    </row>
    <row r="34" spans="1:8" ht="15.6" x14ac:dyDescent="0.3">
      <c r="A34" s="21" t="s">
        <v>55</v>
      </c>
      <c r="B34" s="21" t="s">
        <v>44</v>
      </c>
      <c r="C34" s="21"/>
      <c r="D34" s="148">
        <v>4418.920000000001</v>
      </c>
      <c r="E34" s="263"/>
      <c r="F34" s="193">
        <f>SUM(D34-(D34*B1))</f>
        <v>4418.920000000001</v>
      </c>
      <c r="G34" s="69">
        <v>1.6779999999999999</v>
      </c>
      <c r="H34" s="98">
        <f>14*14*58/1000000</f>
        <v>1.1368E-2</v>
      </c>
    </row>
    <row r="35" spans="1:8" ht="15.6" x14ac:dyDescent="0.3">
      <c r="A35" s="9" t="s">
        <v>56</v>
      </c>
      <c r="B35" s="9" t="s">
        <v>45</v>
      </c>
      <c r="C35" s="9"/>
      <c r="D35" s="147">
        <v>5198.1600000000008</v>
      </c>
      <c r="E35" s="262"/>
      <c r="F35" s="192">
        <f>SUM(D35-(D35*B1))</f>
        <v>5198.1600000000008</v>
      </c>
      <c r="G35" s="68">
        <v>2.1175000000000002</v>
      </c>
      <c r="H35" s="97">
        <f>17*17*58/1000000</f>
        <v>1.6761999999999999E-2</v>
      </c>
    </row>
    <row r="36" spans="1:8" ht="15.6" x14ac:dyDescent="0.3">
      <c r="A36" s="21" t="s">
        <v>57</v>
      </c>
      <c r="B36" s="21" t="s">
        <v>46</v>
      </c>
      <c r="C36" s="21"/>
      <c r="D36" s="148">
        <v>5354.25</v>
      </c>
      <c r="E36" s="263"/>
      <c r="F36" s="193">
        <f>SUM(D36-(D36*B1))</f>
        <v>5354.25</v>
      </c>
      <c r="G36" s="69">
        <v>2.5377000000000001</v>
      </c>
      <c r="H36" s="98">
        <f>17*17*58/1000000</f>
        <v>1.6761999999999999E-2</v>
      </c>
    </row>
    <row r="37" spans="1:8" ht="15.6" x14ac:dyDescent="0.3">
      <c r="A37" s="9" t="s">
        <v>58</v>
      </c>
      <c r="B37" s="9" t="s">
        <v>47</v>
      </c>
      <c r="C37" s="9"/>
      <c r="D37" s="147">
        <v>6819.5600000000013</v>
      </c>
      <c r="E37" s="262"/>
      <c r="F37" s="192">
        <f>SUM(D37-(D37*B1))</f>
        <v>6819.5600000000013</v>
      </c>
      <c r="G37" s="68">
        <v>2.7724000000000002</v>
      </c>
      <c r="H37" s="97">
        <f>21.5*21.5*58/1000000</f>
        <v>2.6810500000000001E-2</v>
      </c>
    </row>
    <row r="38" spans="1:8" ht="15.6" x14ac:dyDescent="0.3">
      <c r="A38" s="21" t="s">
        <v>59</v>
      </c>
      <c r="B38" s="21" t="s">
        <v>48</v>
      </c>
      <c r="C38" s="21"/>
      <c r="D38" s="148">
        <v>6950.2400000000016</v>
      </c>
      <c r="E38" s="263"/>
      <c r="F38" s="193">
        <f>SUM(D38-(D38*B1))</f>
        <v>6950.2400000000016</v>
      </c>
      <c r="G38" s="69">
        <v>4.1294000000000004</v>
      </c>
      <c r="H38" s="98">
        <f>27*27*58/1000000</f>
        <v>4.2282E-2</v>
      </c>
    </row>
    <row r="39" spans="1:8" ht="15.6" x14ac:dyDescent="0.3">
      <c r="A39" s="9" t="s">
        <v>60</v>
      </c>
      <c r="B39" s="9" t="s">
        <v>49</v>
      </c>
      <c r="C39" s="9"/>
      <c r="D39" s="147">
        <v>11427.240000000003</v>
      </c>
      <c r="E39" s="262"/>
      <c r="F39" s="192">
        <f>SUM(D39-(D39*B1))</f>
        <v>11427.240000000003</v>
      </c>
      <c r="G39" s="68">
        <v>5.1482000000000001</v>
      </c>
      <c r="H39" s="97">
        <f>32*32*58/1000000</f>
        <v>5.9392E-2</v>
      </c>
    </row>
    <row r="40" spans="1:8" ht="15.6" x14ac:dyDescent="0.3">
      <c r="A40" s="21" t="s">
        <v>61</v>
      </c>
      <c r="B40" s="21" t="s">
        <v>50</v>
      </c>
      <c r="C40" s="21"/>
      <c r="D40" s="148">
        <v>13712.529600000002</v>
      </c>
      <c r="E40" s="263"/>
      <c r="F40" s="193">
        <f>SUM(D40-(D40*B1))</f>
        <v>13712.529600000002</v>
      </c>
      <c r="G40" s="69">
        <v>6.1788999999999996</v>
      </c>
      <c r="H40" s="98">
        <f>37*37*80/1000000</f>
        <v>0.10952000000000001</v>
      </c>
    </row>
    <row r="41" spans="1:8" ht="15.6" x14ac:dyDescent="0.3">
      <c r="A41" s="9" t="s">
        <v>62</v>
      </c>
      <c r="B41" s="9" t="s">
        <v>51</v>
      </c>
      <c r="C41" s="9"/>
      <c r="D41" s="147">
        <v>17183.3904</v>
      </c>
      <c r="E41" s="262"/>
      <c r="F41" s="192">
        <f>SUM(D41-(D41*B1))</f>
        <v>17183.3904</v>
      </c>
      <c r="G41" s="68">
        <v>7.9471999999999996</v>
      </c>
      <c r="H41" s="97">
        <f>42*42*80/1000000</f>
        <v>0.14112</v>
      </c>
    </row>
    <row r="42" spans="1:8" ht="15.6" x14ac:dyDescent="0.3">
      <c r="A42" s="21" t="s">
        <v>63</v>
      </c>
      <c r="B42" s="21" t="s">
        <v>52</v>
      </c>
      <c r="C42" s="21"/>
      <c r="D42" s="148">
        <v>23341.538880000007</v>
      </c>
      <c r="E42" s="263"/>
      <c r="F42" s="193">
        <f>SUM(D42-(D42*B1))</f>
        <v>23341.538880000007</v>
      </c>
      <c r="G42" s="69">
        <v>10.293900000000001</v>
      </c>
      <c r="H42" s="98">
        <f>47*47*80/1000000</f>
        <v>0.17671999999999999</v>
      </c>
    </row>
    <row r="43" spans="1:8" ht="16.2" thickBot="1" x14ac:dyDescent="0.35">
      <c r="A43" s="22" t="s">
        <v>64</v>
      </c>
      <c r="B43" s="22" t="s">
        <v>53</v>
      </c>
      <c r="C43" s="22"/>
      <c r="D43" s="169">
        <v>29752.113600000008</v>
      </c>
      <c r="E43" s="264"/>
      <c r="F43" s="194">
        <f>SUM(D43-(D43*B1))</f>
        <v>29752.113600000008</v>
      </c>
      <c r="G43" s="70">
        <v>11.428900000000001</v>
      </c>
      <c r="H43" s="99">
        <f>52*52*80/1000000</f>
        <v>0.21632000000000001</v>
      </c>
    </row>
    <row r="44" spans="1:8" ht="18" x14ac:dyDescent="0.35">
      <c r="A44" s="313" t="s">
        <v>533</v>
      </c>
      <c r="B44" s="313"/>
      <c r="C44" s="313"/>
      <c r="D44" s="313"/>
      <c r="E44" s="313"/>
      <c r="F44" s="313"/>
      <c r="G44" s="313"/>
      <c r="H44" s="313"/>
    </row>
    <row r="45" spans="1:8" ht="15.6" x14ac:dyDescent="0.3">
      <c r="A45" s="314"/>
      <c r="B45" s="314"/>
      <c r="C45" s="314"/>
      <c r="D45" s="314"/>
      <c r="E45" s="314"/>
      <c r="F45" s="314"/>
      <c r="G45" s="314"/>
      <c r="H45" s="100"/>
    </row>
    <row r="46" spans="1:8" ht="15.6" x14ac:dyDescent="0.3">
      <c r="A46" s="314" t="s">
        <v>549</v>
      </c>
      <c r="B46" s="314"/>
      <c r="C46" s="314"/>
      <c r="D46" s="314"/>
      <c r="E46" s="314"/>
      <c r="F46" s="314"/>
      <c r="G46" s="314"/>
      <c r="H46" s="100"/>
    </row>
    <row r="47" spans="1:8" ht="15.45" customHeight="1" x14ac:dyDescent="0.3">
      <c r="A47" s="314" t="s">
        <v>550</v>
      </c>
      <c r="B47" s="314"/>
      <c r="C47" s="314"/>
      <c r="D47" s="314"/>
      <c r="E47" s="314"/>
      <c r="F47" s="314"/>
      <c r="G47" s="314"/>
      <c r="H47" s="100"/>
    </row>
    <row r="48" spans="1:8" ht="15.6" x14ac:dyDescent="0.3">
      <c r="A48" s="314"/>
      <c r="B48" s="314"/>
      <c r="C48" s="314"/>
      <c r="D48" s="314"/>
      <c r="E48" s="314"/>
      <c r="F48" s="314"/>
      <c r="G48" s="314"/>
      <c r="H48" s="100"/>
    </row>
    <row r="49" spans="1:8" ht="15.6" x14ac:dyDescent="0.3">
      <c r="A49" s="20" t="s">
        <v>18</v>
      </c>
      <c r="B49" s="20" t="s">
        <v>19</v>
      </c>
      <c r="C49" s="20"/>
      <c r="D49" s="20" t="s">
        <v>503</v>
      </c>
      <c r="E49" s="102" t="s">
        <v>460</v>
      </c>
      <c r="F49" s="20" t="s">
        <v>504</v>
      </c>
      <c r="G49" s="20" t="s">
        <v>459</v>
      </c>
      <c r="H49" s="20" t="s">
        <v>457</v>
      </c>
    </row>
    <row r="50" spans="1:8" ht="15.6" x14ac:dyDescent="0.3">
      <c r="A50" s="9" t="s">
        <v>510</v>
      </c>
      <c r="B50" s="9" t="s">
        <v>511</v>
      </c>
      <c r="C50" s="9"/>
      <c r="D50" s="147">
        <v>4367</v>
      </c>
      <c r="E50" s="262"/>
      <c r="F50" s="192">
        <f>SUM(D50-(D50*B1))</f>
        <v>4367</v>
      </c>
      <c r="G50" s="68"/>
      <c r="H50" s="97"/>
    </row>
    <row r="51" spans="1:8" ht="15.6" x14ac:dyDescent="0.3">
      <c r="A51" s="21" t="s">
        <v>512</v>
      </c>
      <c r="B51" s="21" t="s">
        <v>513</v>
      </c>
      <c r="C51" s="21"/>
      <c r="D51" s="148">
        <v>5237</v>
      </c>
      <c r="E51" s="263"/>
      <c r="F51" s="193">
        <f>SUM(D51-(D51*B1))</f>
        <v>5237</v>
      </c>
      <c r="G51" s="69"/>
      <c r="H51" s="98"/>
    </row>
    <row r="52" spans="1:8" ht="15.6" x14ac:dyDescent="0.3">
      <c r="A52" s="9" t="s">
        <v>514</v>
      </c>
      <c r="B52" s="9" t="s">
        <v>515</v>
      </c>
      <c r="C52" s="9"/>
      <c r="D52" s="147">
        <v>6276</v>
      </c>
      <c r="E52" s="262"/>
      <c r="F52" s="192">
        <f>SUM(D52-(D52*B1))</f>
        <v>6276</v>
      </c>
      <c r="G52" s="68"/>
      <c r="H52" s="97"/>
    </row>
    <row r="53" spans="1:8" ht="15.6" x14ac:dyDescent="0.3">
      <c r="A53" s="21" t="s">
        <v>516</v>
      </c>
      <c r="B53" s="21" t="s">
        <v>517</v>
      </c>
      <c r="C53" s="21"/>
      <c r="D53" s="148">
        <v>7787</v>
      </c>
      <c r="E53" s="263"/>
      <c r="F53" s="193">
        <f>SUM(D53-(D53*B1))</f>
        <v>7787</v>
      </c>
      <c r="G53" s="69"/>
      <c r="H53" s="98"/>
    </row>
    <row r="54" spans="1:8" ht="15.6" x14ac:dyDescent="0.3">
      <c r="A54" s="9" t="s">
        <v>518</v>
      </c>
      <c r="B54" s="9" t="s">
        <v>519</v>
      </c>
      <c r="C54" s="9"/>
      <c r="D54" s="147">
        <v>10222</v>
      </c>
      <c r="E54" s="262"/>
      <c r="F54" s="192">
        <f>SUM(D54-(D54*B1))</f>
        <v>10222</v>
      </c>
      <c r="G54" s="68"/>
      <c r="H54" s="97"/>
    </row>
    <row r="55" spans="1:8" ht="15.6" x14ac:dyDescent="0.3">
      <c r="A55" s="21" t="s">
        <v>520</v>
      </c>
      <c r="B55" s="21" t="s">
        <v>521</v>
      </c>
      <c r="C55" s="21"/>
      <c r="D55" s="148">
        <v>12701</v>
      </c>
      <c r="E55" s="263"/>
      <c r="F55" s="193">
        <f>SUM(D55-(D55*B1))</f>
        <v>12701</v>
      </c>
      <c r="G55" s="69"/>
      <c r="H55" s="98"/>
    </row>
    <row r="56" spans="1:8" x14ac:dyDescent="0.3">
      <c r="A56" s="3"/>
      <c r="B56" s="3"/>
      <c r="C56" s="3"/>
      <c r="D56" s="3"/>
    </row>
    <row r="57" spans="1:8" x14ac:dyDescent="0.3">
      <c r="A57" s="3"/>
      <c r="B57" s="3"/>
      <c r="C57" s="3"/>
      <c r="D57" s="3"/>
    </row>
    <row r="58" spans="1:8" x14ac:dyDescent="0.3">
      <c r="A58" s="3"/>
      <c r="B58" s="3"/>
      <c r="C58" s="3"/>
      <c r="D58" s="3"/>
    </row>
    <row r="59" spans="1:8" x14ac:dyDescent="0.3">
      <c r="A59" s="3"/>
      <c r="B59" s="3"/>
      <c r="C59" s="3"/>
      <c r="D59" s="3"/>
    </row>
    <row r="60" spans="1:8" x14ac:dyDescent="0.3">
      <c r="A60" s="3"/>
      <c r="B60" s="3"/>
      <c r="C60" s="3"/>
      <c r="D60" s="3"/>
    </row>
    <row r="61" spans="1:8" x14ac:dyDescent="0.3">
      <c r="A61" s="3"/>
      <c r="B61" s="3"/>
      <c r="C61" s="3"/>
      <c r="D61" s="3"/>
    </row>
    <row r="62" spans="1:8" x14ac:dyDescent="0.3">
      <c r="A62" s="3"/>
      <c r="B62" s="3"/>
      <c r="C62" s="3"/>
      <c r="D62" s="3"/>
    </row>
  </sheetData>
  <mergeCells count="15">
    <mergeCell ref="A48:G48"/>
    <mergeCell ref="A46:G46"/>
    <mergeCell ref="A31:G31"/>
    <mergeCell ref="A44:H44"/>
    <mergeCell ref="A45:G45"/>
    <mergeCell ref="A47:G47"/>
    <mergeCell ref="A2:H2"/>
    <mergeCell ref="A29:H29"/>
    <mergeCell ref="A30:G30"/>
    <mergeCell ref="A3:H3"/>
    <mergeCell ref="A15:H15"/>
    <mergeCell ref="A16:G16"/>
    <mergeCell ref="A4:H4"/>
    <mergeCell ref="A5:H5"/>
    <mergeCell ref="A6:G6"/>
  </mergeCells>
  <hyperlinks>
    <hyperlink ref="A29" r:id="rId1"/>
    <hyperlink ref="A15:G15" r:id="rId2" display="ALUDEC AA3"/>
    <hyperlink ref="A44:H44" r:id="rId3" display="COMBIDEC 200"/>
  </hyperlinks>
  <pageMargins left="0.7" right="0.7" top="0.75" bottom="0.75" header="0.3" footer="0.3"/>
  <pageSetup paperSize="9" orientation="portrait" r:id="rId4"/>
  <drawing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K40"/>
  <sheetViews>
    <sheetView showGridLines="0" showRowColHeaders="0" zoomScale="85" zoomScaleNormal="85" workbookViewId="0">
      <pane ySplit="1" topLeftCell="A2" activePane="bottomLeft" state="frozen"/>
      <selection pane="bottomLeft" activeCell="B1" sqref="B1"/>
    </sheetView>
  </sheetViews>
  <sheetFormatPr defaultRowHeight="14.4" x14ac:dyDescent="0.3"/>
  <cols>
    <col min="1" max="8" width="20.77734375" customWidth="1"/>
    <col min="199" max="199" width="9.21875" customWidth="1"/>
    <col min="201" max="201" width="9.21875" customWidth="1"/>
    <col min="203" max="203" width="9.21875" customWidth="1"/>
  </cols>
  <sheetData>
    <row r="1" spans="1:11" s="111" customFormat="1" ht="30" customHeight="1" thickBot="1" x14ac:dyDescent="0.35">
      <c r="A1" s="109" t="s">
        <v>455</v>
      </c>
      <c r="B1" s="233">
        <f>Содержание!D15</f>
        <v>0</v>
      </c>
      <c r="C1" s="109" t="s">
        <v>522</v>
      </c>
      <c r="D1" s="232">
        <f>SUM(E8*F8+E9*F9+E10*F10+E11*F11+E12*F12+E13*F13+E14*F14+E15*F15+E19*F19+E20*F20+E21*F21+E22*F22+E23*F23+E24*F24+E25*F25)</f>
        <v>0</v>
      </c>
      <c r="E1" s="109" t="s">
        <v>458</v>
      </c>
      <c r="F1" s="231">
        <f>SUM(E8*G8+E9*G9+E10*G10+E11*G11+E12*G12+E13*G13+E14*G14+E15*G15+E19*G19+E20*G20+E21+G21*P21+E22*G22+E23*G23+E24*G24+E25*G25)</f>
        <v>0</v>
      </c>
      <c r="G1" s="109" t="s">
        <v>456</v>
      </c>
      <c r="H1" s="230">
        <f>SUM(E8*H8+E9*H9+E10*H10+E11*H11+E12*H12+E13*H13+E14*H14+E15*H15+E19*H19+E20*H20+E21*H21+E22*H22+E23*H23+E24*H24+E25*H25)</f>
        <v>0</v>
      </c>
      <c r="I1" s="155"/>
      <c r="J1" s="110"/>
      <c r="K1" s="110"/>
    </row>
    <row r="2" spans="1:11" ht="18" x14ac:dyDescent="0.35">
      <c r="A2" s="322" t="s">
        <v>561</v>
      </c>
      <c r="B2" s="322"/>
      <c r="C2" s="322"/>
      <c r="D2" s="322"/>
      <c r="E2" s="322"/>
      <c r="F2" s="322"/>
      <c r="G2" s="322"/>
      <c r="H2" s="322"/>
    </row>
    <row r="3" spans="1:11" x14ac:dyDescent="0.3">
      <c r="A3" s="315"/>
      <c r="B3" s="315"/>
      <c r="C3" s="315"/>
      <c r="D3" s="315"/>
      <c r="E3" s="315"/>
      <c r="F3" s="315"/>
      <c r="G3" s="315"/>
      <c r="H3" s="315"/>
    </row>
    <row r="4" spans="1:11" ht="18.75" customHeight="1" x14ac:dyDescent="0.35">
      <c r="A4" s="321" t="s">
        <v>463</v>
      </c>
      <c r="B4" s="321"/>
      <c r="C4" s="321"/>
      <c r="D4" s="321"/>
      <c r="E4" s="321"/>
      <c r="F4" s="321"/>
      <c r="G4" s="321"/>
      <c r="H4" s="321"/>
    </row>
    <row r="5" spans="1:11" ht="18.75" customHeight="1" x14ac:dyDescent="0.3">
      <c r="A5" s="320" t="s">
        <v>65</v>
      </c>
      <c r="B5" s="320"/>
      <c r="C5" s="320"/>
      <c r="D5" s="320"/>
      <c r="E5" s="320"/>
      <c r="F5" s="320"/>
      <c r="G5" s="320"/>
      <c r="H5" s="320"/>
    </row>
    <row r="6" spans="1:11" ht="78" customHeight="1" x14ac:dyDescent="0.3">
      <c r="A6" s="314" t="s">
        <v>392</v>
      </c>
      <c r="B6" s="314"/>
      <c r="C6" s="314"/>
      <c r="D6" s="314"/>
      <c r="E6" s="314"/>
      <c r="F6" s="314"/>
      <c r="G6" s="314"/>
      <c r="H6" s="96"/>
    </row>
    <row r="7" spans="1:11" ht="15.6" x14ac:dyDescent="0.3">
      <c r="A7" s="14" t="s">
        <v>18</v>
      </c>
      <c r="B7" s="14" t="s">
        <v>19</v>
      </c>
      <c r="C7" s="14"/>
      <c r="D7" s="14" t="s">
        <v>503</v>
      </c>
      <c r="E7" s="14" t="s">
        <v>460</v>
      </c>
      <c r="F7" s="14" t="s">
        <v>505</v>
      </c>
      <c r="G7" s="14" t="s">
        <v>459</v>
      </c>
      <c r="H7" s="14" t="s">
        <v>457</v>
      </c>
    </row>
    <row r="8" spans="1:11" ht="15.6" x14ac:dyDescent="0.3">
      <c r="A8" s="15" t="s">
        <v>559</v>
      </c>
      <c r="B8" s="6" t="s">
        <v>66</v>
      </c>
      <c r="C8" s="9"/>
      <c r="D8" s="147" t="s">
        <v>560</v>
      </c>
      <c r="E8" s="262"/>
      <c r="F8" s="192"/>
      <c r="G8" s="149">
        <v>1.8889</v>
      </c>
      <c r="H8" s="152">
        <f>9.5*9.5*80/1000000</f>
        <v>7.2199999999999999E-3</v>
      </c>
    </row>
    <row r="9" spans="1:11" ht="15.6" x14ac:dyDescent="0.3">
      <c r="A9" s="16" t="s">
        <v>552</v>
      </c>
      <c r="B9" s="5" t="s">
        <v>67</v>
      </c>
      <c r="C9" s="72"/>
      <c r="D9" s="168">
        <v>2242</v>
      </c>
      <c r="E9" s="268"/>
      <c r="F9" s="196">
        <f>SUM(D9-(D9*B1))</f>
        <v>2242</v>
      </c>
      <c r="G9" s="158">
        <v>1.9064000000000001</v>
      </c>
      <c r="H9" s="160">
        <f>11.6*11.6*80/1000000</f>
        <v>1.07648E-2</v>
      </c>
    </row>
    <row r="10" spans="1:11" ht="15.6" x14ac:dyDescent="0.3">
      <c r="A10" s="15" t="s">
        <v>553</v>
      </c>
      <c r="B10" s="6" t="s">
        <v>68</v>
      </c>
      <c r="C10" s="9"/>
      <c r="D10" s="147">
        <v>2668</v>
      </c>
      <c r="E10" s="262"/>
      <c r="F10" s="192">
        <f>SUM(D10-(D10*B1))</f>
        <v>2668</v>
      </c>
      <c r="G10" s="149">
        <v>2.2387999999999999</v>
      </c>
      <c r="H10" s="152">
        <f>14*14*58/1000000</f>
        <v>1.1368E-2</v>
      </c>
    </row>
    <row r="11" spans="1:11" ht="15.6" x14ac:dyDescent="0.3">
      <c r="A11" s="16" t="s">
        <v>554</v>
      </c>
      <c r="B11" s="5" t="s">
        <v>69</v>
      </c>
      <c r="C11" s="72"/>
      <c r="D11" s="168">
        <v>3227</v>
      </c>
      <c r="E11" s="268"/>
      <c r="F11" s="196">
        <f>SUM(D11-(D11*B1))</f>
        <v>3227</v>
      </c>
      <c r="G11" s="158">
        <v>2.6892</v>
      </c>
      <c r="H11" s="160">
        <f>17*17*58/1000000</f>
        <v>1.6761999999999999E-2</v>
      </c>
    </row>
    <row r="12" spans="1:11" ht="15.6" x14ac:dyDescent="0.3">
      <c r="A12" s="15" t="s">
        <v>555</v>
      </c>
      <c r="B12" s="6" t="s">
        <v>70</v>
      </c>
      <c r="C12" s="9"/>
      <c r="D12" s="147">
        <v>3453</v>
      </c>
      <c r="E12" s="262"/>
      <c r="F12" s="192">
        <f>SUM(D12-(D12*B1))</f>
        <v>3453</v>
      </c>
      <c r="G12" s="149">
        <v>2.8372000000000002</v>
      </c>
      <c r="H12" s="152">
        <f>17*17*58/1000000</f>
        <v>1.6761999999999999E-2</v>
      </c>
    </row>
    <row r="13" spans="1:11" ht="15.6" x14ac:dyDescent="0.3">
      <c r="A13" s="16" t="s">
        <v>556</v>
      </c>
      <c r="B13" s="5" t="s">
        <v>71</v>
      </c>
      <c r="C13" s="72"/>
      <c r="D13" s="168">
        <v>5117</v>
      </c>
      <c r="E13" s="268"/>
      <c r="F13" s="196">
        <f>SUM(D13-(D13*B1))</f>
        <v>5117</v>
      </c>
      <c r="G13" s="158">
        <v>4.6993</v>
      </c>
      <c r="H13" s="160">
        <f>21.5*21.5*80/1000000</f>
        <v>3.6979999999999999E-2</v>
      </c>
    </row>
    <row r="14" spans="1:11" ht="15.6" x14ac:dyDescent="0.3">
      <c r="A14" s="15" t="s">
        <v>557</v>
      </c>
      <c r="B14" s="6" t="s">
        <v>72</v>
      </c>
      <c r="C14" s="9"/>
      <c r="D14" s="147">
        <v>6210</v>
      </c>
      <c r="E14" s="262"/>
      <c r="F14" s="192">
        <f>SUM(D14-(D14*B1))</f>
        <v>6210</v>
      </c>
      <c r="G14" s="149">
        <v>5.7343999999999999</v>
      </c>
      <c r="H14" s="152">
        <f>27*27*80/1000000</f>
        <v>5.8319999999999997E-2</v>
      </c>
    </row>
    <row r="15" spans="1:11" ht="16.2" thickBot="1" x14ac:dyDescent="0.35">
      <c r="A15" s="18" t="s">
        <v>558</v>
      </c>
      <c r="B15" s="17" t="s">
        <v>73</v>
      </c>
      <c r="C15" s="73"/>
      <c r="D15" s="168" t="s">
        <v>560</v>
      </c>
      <c r="E15" s="269"/>
      <c r="F15" s="197"/>
      <c r="G15" s="159">
        <v>7.1116999999999999</v>
      </c>
      <c r="H15" s="161">
        <f>32*32*80/1000000</f>
        <v>8.1920000000000007E-2</v>
      </c>
    </row>
    <row r="16" spans="1:11" ht="18" x14ac:dyDescent="0.35">
      <c r="A16" s="319" t="s">
        <v>462</v>
      </c>
      <c r="B16" s="319"/>
      <c r="C16" s="319"/>
      <c r="D16" s="319"/>
      <c r="E16" s="319"/>
      <c r="F16" s="319"/>
      <c r="G16" s="319"/>
      <c r="H16" s="319"/>
    </row>
    <row r="17" spans="1:8" ht="78" customHeight="1" x14ac:dyDescent="0.3">
      <c r="A17" s="314" t="s">
        <v>197</v>
      </c>
      <c r="B17" s="314"/>
      <c r="C17" s="314"/>
      <c r="D17" s="314"/>
      <c r="E17" s="314"/>
      <c r="F17" s="314"/>
      <c r="G17" s="314"/>
      <c r="H17" s="96"/>
    </row>
    <row r="18" spans="1:8" ht="15.6" x14ac:dyDescent="0.3">
      <c r="A18" s="14" t="s">
        <v>18</v>
      </c>
      <c r="B18" s="14" t="s">
        <v>19</v>
      </c>
      <c r="C18" s="14"/>
      <c r="D18" s="14" t="s">
        <v>503</v>
      </c>
      <c r="E18" s="14" t="s">
        <v>460</v>
      </c>
      <c r="F18" s="14" t="s">
        <v>504</v>
      </c>
      <c r="G18" s="14" t="s">
        <v>459</v>
      </c>
      <c r="H18" s="14" t="s">
        <v>457</v>
      </c>
    </row>
    <row r="19" spans="1:8" ht="15.6" x14ac:dyDescent="0.3">
      <c r="A19" s="9" t="s">
        <v>81</v>
      </c>
      <c r="B19" s="6" t="s">
        <v>74</v>
      </c>
      <c r="C19" s="9"/>
      <c r="D19" s="147">
        <v>4508.28</v>
      </c>
      <c r="E19" s="270"/>
      <c r="F19" s="189">
        <f>SUM(D19-(D19*B1))</f>
        <v>4508.28</v>
      </c>
      <c r="G19" s="165">
        <v>2.5</v>
      </c>
      <c r="H19" s="162">
        <f>11*11*80/1000000</f>
        <v>9.6799999999999994E-3</v>
      </c>
    </row>
    <row r="20" spans="1:8" ht="15.6" x14ac:dyDescent="0.3">
      <c r="A20" s="72" t="s">
        <v>82</v>
      </c>
      <c r="B20" s="5" t="s">
        <v>75</v>
      </c>
      <c r="C20" s="72"/>
      <c r="D20" s="168">
        <v>5034.96</v>
      </c>
      <c r="E20" s="271"/>
      <c r="F20" s="195">
        <f>SUM(D20-(D20*B1))</f>
        <v>5034.96</v>
      </c>
      <c r="G20" s="166">
        <v>2.5754000000000001</v>
      </c>
      <c r="H20" s="163">
        <f>14*14*58/1000000</f>
        <v>1.1368E-2</v>
      </c>
    </row>
    <row r="21" spans="1:8" ht="15.6" x14ac:dyDescent="0.3">
      <c r="A21" s="9" t="s">
        <v>84</v>
      </c>
      <c r="B21" s="6" t="s">
        <v>77</v>
      </c>
      <c r="C21" s="9"/>
      <c r="D21" s="147" t="s">
        <v>560</v>
      </c>
      <c r="E21" s="270"/>
      <c r="F21" s="189"/>
      <c r="G21" s="165">
        <v>3.2054</v>
      </c>
      <c r="H21" s="162">
        <f>17*17*58/1000000</f>
        <v>1.6761999999999999E-2</v>
      </c>
    </row>
    <row r="22" spans="1:8" ht="15.6" x14ac:dyDescent="0.3">
      <c r="A22" s="72" t="s">
        <v>83</v>
      </c>
      <c r="B22" s="5" t="s">
        <v>76</v>
      </c>
      <c r="C22" s="72"/>
      <c r="D22" s="168">
        <v>8758.26</v>
      </c>
      <c r="E22" s="271"/>
      <c r="F22" s="195">
        <f>SUM(D22-(D22*B1))</f>
        <v>8758.26</v>
      </c>
      <c r="G22" s="166">
        <v>4.7148000000000003</v>
      </c>
      <c r="H22" s="163">
        <f>22*22*58/1000000</f>
        <v>2.8072E-2</v>
      </c>
    </row>
    <row r="23" spans="1:8" ht="15.6" x14ac:dyDescent="0.3">
      <c r="A23" s="9" t="s">
        <v>85</v>
      </c>
      <c r="B23" s="6" t="s">
        <v>78</v>
      </c>
      <c r="C23" s="9"/>
      <c r="D23" s="147" t="s">
        <v>560</v>
      </c>
      <c r="E23" s="270"/>
      <c r="F23" s="189"/>
      <c r="G23" s="165">
        <v>7.3255999999999997</v>
      </c>
      <c r="H23" s="162">
        <f>32*32*58/1000000</f>
        <v>5.9392E-2</v>
      </c>
    </row>
    <row r="24" spans="1:8" ht="15.6" x14ac:dyDescent="0.3">
      <c r="A24" s="72" t="s">
        <v>86</v>
      </c>
      <c r="B24" s="5" t="s">
        <v>79</v>
      </c>
      <c r="C24" s="72"/>
      <c r="D24" s="168" t="s">
        <v>560</v>
      </c>
      <c r="E24" s="271"/>
      <c r="F24" s="195"/>
      <c r="G24" s="166">
        <v>7.3255999999999997</v>
      </c>
      <c r="H24" s="163">
        <f>32*32*58/1000000</f>
        <v>5.9392E-2</v>
      </c>
    </row>
    <row r="25" spans="1:8" ht="16.2" thickBot="1" x14ac:dyDescent="0.35">
      <c r="A25" s="22" t="s">
        <v>87</v>
      </c>
      <c r="B25" s="26" t="s">
        <v>80</v>
      </c>
      <c r="C25" s="22"/>
      <c r="D25" s="169" t="s">
        <v>560</v>
      </c>
      <c r="E25" s="272"/>
      <c r="F25" s="191"/>
      <c r="G25" s="167">
        <v>8.3610000000000007</v>
      </c>
      <c r="H25" s="164">
        <f>37*37*58/1000000</f>
        <v>7.9402E-2</v>
      </c>
    </row>
    <row r="26" spans="1:8" x14ac:dyDescent="0.3">
      <c r="A26" s="3"/>
      <c r="B26" s="3"/>
      <c r="C26" s="3"/>
      <c r="D26" s="3"/>
    </row>
    <row r="27" spans="1:8" x14ac:dyDescent="0.3">
      <c r="A27" s="3"/>
      <c r="B27" s="3"/>
      <c r="C27" s="3"/>
      <c r="D27" s="3"/>
    </row>
    <row r="28" spans="1:8" x14ac:dyDescent="0.3">
      <c r="A28" s="3"/>
      <c r="B28" s="3"/>
      <c r="C28" s="3"/>
      <c r="D28" s="3"/>
    </row>
    <row r="29" spans="1:8" x14ac:dyDescent="0.3">
      <c r="A29" s="3"/>
      <c r="B29" s="3"/>
      <c r="C29" s="3"/>
      <c r="D29" s="3"/>
    </row>
    <row r="30" spans="1:8" ht="17.399999999999999" x14ac:dyDescent="0.35">
      <c r="A30" s="103"/>
      <c r="B30" s="104"/>
      <c r="C30" s="103"/>
      <c r="D30" s="105"/>
      <c r="E30" s="103"/>
      <c r="F30" s="105"/>
      <c r="G30" s="103"/>
      <c r="H30" s="106"/>
    </row>
    <row r="31" spans="1:8" x14ac:dyDescent="0.3">
      <c r="A31" s="3"/>
      <c r="B31" s="3"/>
      <c r="C31" s="3"/>
      <c r="D31" s="3"/>
    </row>
    <row r="32" spans="1:8" x14ac:dyDescent="0.3">
      <c r="A32" s="3"/>
      <c r="B32" s="3"/>
      <c r="C32" s="3"/>
      <c r="D32" s="3"/>
    </row>
    <row r="33" spans="1:4" x14ac:dyDescent="0.3">
      <c r="A33" s="3"/>
      <c r="B33" s="3"/>
      <c r="C33" s="3"/>
      <c r="D33" s="3"/>
    </row>
    <row r="34" spans="1:4" x14ac:dyDescent="0.3">
      <c r="A34" s="3"/>
      <c r="B34" s="3"/>
      <c r="C34" s="3"/>
      <c r="D34" s="3"/>
    </row>
    <row r="35" spans="1:4" x14ac:dyDescent="0.3">
      <c r="A35" s="3"/>
      <c r="B35" s="3"/>
      <c r="C35" s="3"/>
      <c r="D35" s="3"/>
    </row>
    <row r="36" spans="1:4" x14ac:dyDescent="0.3">
      <c r="A36" s="3"/>
      <c r="B36" s="3"/>
      <c r="C36" s="3"/>
      <c r="D36" s="3"/>
    </row>
    <row r="37" spans="1:4" x14ac:dyDescent="0.3">
      <c r="A37" s="3"/>
      <c r="B37" s="3"/>
      <c r="C37" s="3"/>
      <c r="D37" s="3"/>
    </row>
    <row r="38" spans="1:4" x14ac:dyDescent="0.3">
      <c r="A38" s="3"/>
      <c r="B38" s="3"/>
      <c r="C38" s="3"/>
      <c r="D38" s="3"/>
    </row>
    <row r="39" spans="1:4" x14ac:dyDescent="0.3">
      <c r="A39" s="3"/>
      <c r="B39" s="3"/>
      <c r="C39" s="3"/>
      <c r="D39" s="3"/>
    </row>
    <row r="40" spans="1:4" x14ac:dyDescent="0.3">
      <c r="A40" s="3"/>
      <c r="B40" s="3"/>
      <c r="C40" s="3"/>
      <c r="D40" s="3"/>
    </row>
  </sheetData>
  <mergeCells count="7">
    <mergeCell ref="A16:H16"/>
    <mergeCell ref="A17:G17"/>
    <mergeCell ref="A5:H5"/>
    <mergeCell ref="A4:H4"/>
    <mergeCell ref="A2:H2"/>
    <mergeCell ref="A3:H3"/>
    <mergeCell ref="A6:G6"/>
  </mergeCells>
  <hyperlinks>
    <hyperlink ref="A16" r:id="rId1" display="Greydec 100"/>
    <hyperlink ref="A5:G5" r:id="rId2" display="PVC"/>
  </hyperlinks>
  <pageMargins left="0.7" right="0.7" top="0.75" bottom="0.75" header="0.3" footer="0.3"/>
  <pageSetup paperSize="9" orientation="portrait" r:id="rId3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K81"/>
  <sheetViews>
    <sheetView showGridLines="0" showRowColHeaders="0" zoomScale="85" zoomScaleNormal="85" zoomScalePageLayoutView="70" workbookViewId="0">
      <pane ySplit="1" topLeftCell="A5" activePane="bottomLeft" state="frozen"/>
      <selection pane="bottomLeft" activeCell="A47" sqref="A47"/>
    </sheetView>
  </sheetViews>
  <sheetFormatPr defaultRowHeight="14.4" x14ac:dyDescent="0.3"/>
  <cols>
    <col min="1" max="8" width="20.77734375" customWidth="1"/>
  </cols>
  <sheetData>
    <row r="1" spans="1:11" ht="30" customHeight="1" thickBot="1" x14ac:dyDescent="0.4">
      <c r="A1" s="112" t="s">
        <v>455</v>
      </c>
      <c r="B1" s="229">
        <f>Содержание!D15</f>
        <v>0</v>
      </c>
      <c r="C1" s="112" t="s">
        <v>522</v>
      </c>
      <c r="D1" s="228">
        <f>SUM(E8*F8+E9*F9+E10*F10+E11*F11+E12*F12+E13*F13+E14*F14+E15*F15+E16*F16+E17*F17+E18*F18+E22*F22+E23*F23+E24*F24+E25*F25+E26*F26+E27*F27+E28*F28+E29*F29+E30*F30+E31*F31+E32*F32+E33*F33+E37*F37+E38*F38+E39*F39+E40*F40+E41*F41+E43*F43+E42*F42)</f>
        <v>0</v>
      </c>
      <c r="E1" s="112" t="s">
        <v>458</v>
      </c>
      <c r="F1" s="227">
        <f>SUM(E8*G8+E9*G9+E10*G10+E11*G11+E12*G12+E13*G13+E14*G14+E15*G15+E16*G16+E17*G17+E18*G18+E22*G22+E23*G23+E24*G24+E25*G25+E26*G26+E27*G27+E28*G28+E29*G29+E30*G30+E31*G31+E32*G32+E33*G33+E37*G37+E38*G38+E39*G39+E40*G40+E41*G41+E43*G43+E42*G42)</f>
        <v>0</v>
      </c>
      <c r="G1" s="112" t="s">
        <v>456</v>
      </c>
      <c r="H1" s="226">
        <f>SUM(E8*H8+E9*H9+E10*H10+E11*H11+E12*H12+E13*H13+E14*H14+E15*H15+E16*H16+E17*H17+E18*H18+E22*H22+E23*H23+E24*H24+E25*H25+E26*H26+E27*H27+E28*H28+E29*H29+E30*H30+E31*H31+E32*H32+E33*H33+E37*H37+E38*H38+E39*H39+E40*H40+E41*H41+E43*H43+E42*H42)</f>
        <v>0</v>
      </c>
      <c r="I1" s="170"/>
      <c r="J1" s="7"/>
      <c r="K1" s="7"/>
    </row>
    <row r="2" spans="1:11" ht="18" x14ac:dyDescent="0.35">
      <c r="A2" s="324" t="s">
        <v>561</v>
      </c>
      <c r="B2" s="324"/>
      <c r="C2" s="324"/>
      <c r="D2" s="324"/>
      <c r="E2" s="324"/>
      <c r="F2" s="324"/>
      <c r="G2" s="324"/>
      <c r="H2" s="324"/>
      <c r="I2" s="4"/>
      <c r="J2" s="4"/>
      <c r="K2" s="4"/>
    </row>
    <row r="3" spans="1:11" ht="15" thickBot="1" x14ac:dyDescent="0.35">
      <c r="A3" s="315"/>
      <c r="B3" s="315"/>
      <c r="C3" s="315"/>
      <c r="D3" s="315"/>
      <c r="E3" s="315"/>
      <c r="F3" s="315"/>
      <c r="G3" s="315"/>
      <c r="H3" s="315"/>
    </row>
    <row r="4" spans="1:11" ht="18" x14ac:dyDescent="0.35">
      <c r="A4" s="324" t="s">
        <v>6</v>
      </c>
      <c r="B4" s="324"/>
      <c r="C4" s="324"/>
      <c r="D4" s="324"/>
      <c r="E4" s="324"/>
      <c r="F4" s="324"/>
      <c r="G4" s="324"/>
      <c r="H4" s="324"/>
    </row>
    <row r="5" spans="1:11" ht="18" x14ac:dyDescent="0.35">
      <c r="A5" s="325" t="s">
        <v>88</v>
      </c>
      <c r="B5" s="325"/>
      <c r="C5" s="325"/>
      <c r="D5" s="325"/>
      <c r="E5" s="325"/>
      <c r="F5" s="325"/>
      <c r="G5" s="325"/>
      <c r="H5" s="325"/>
    </row>
    <row r="6" spans="1:11" ht="78" customHeight="1" x14ac:dyDescent="0.3">
      <c r="A6" s="314" t="s">
        <v>152</v>
      </c>
      <c r="B6" s="314"/>
      <c r="C6" s="314"/>
      <c r="D6" s="314"/>
      <c r="E6" s="314"/>
      <c r="F6" s="314"/>
      <c r="G6" s="314"/>
    </row>
    <row r="7" spans="1:11" ht="15.6" x14ac:dyDescent="0.3">
      <c r="A7" s="24" t="s">
        <v>18</v>
      </c>
      <c r="B7" s="24" t="s">
        <v>19</v>
      </c>
      <c r="C7" s="24"/>
      <c r="D7" s="24" t="s">
        <v>503</v>
      </c>
      <c r="E7" s="24" t="s">
        <v>460</v>
      </c>
      <c r="F7" s="24" t="s">
        <v>505</v>
      </c>
      <c r="G7" s="24" t="s">
        <v>459</v>
      </c>
      <c r="H7" s="24" t="s">
        <v>457</v>
      </c>
    </row>
    <row r="8" spans="1:11" ht="15.6" x14ac:dyDescent="0.3">
      <c r="A8" s="9" t="s">
        <v>100</v>
      </c>
      <c r="B8" s="6" t="s">
        <v>89</v>
      </c>
      <c r="C8" s="6"/>
      <c r="D8" s="156">
        <v>12337</v>
      </c>
      <c r="E8" s="295"/>
      <c r="F8" s="189">
        <f>SUM(D8-(D8*B1))</f>
        <v>12337</v>
      </c>
      <c r="G8" s="165">
        <v>4.2149000000000001</v>
      </c>
      <c r="H8" s="162">
        <f>17*17*98/1000000</f>
        <v>2.8322E-2</v>
      </c>
    </row>
    <row r="9" spans="1:11" ht="15.6" x14ac:dyDescent="0.3">
      <c r="A9" s="74" t="s">
        <v>101</v>
      </c>
      <c r="B9" s="8" t="s">
        <v>90</v>
      </c>
      <c r="C9" s="8"/>
      <c r="D9" s="171">
        <v>13564</v>
      </c>
      <c r="E9" s="296"/>
      <c r="F9" s="198">
        <f>SUM(D9-(D9*B1))</f>
        <v>13564</v>
      </c>
      <c r="G9" s="172">
        <v>4.7629000000000001</v>
      </c>
      <c r="H9" s="173">
        <f>19*19*98/1000000</f>
        <v>3.5378E-2</v>
      </c>
    </row>
    <row r="10" spans="1:11" ht="15.6" x14ac:dyDescent="0.3">
      <c r="A10" s="9" t="s">
        <v>102</v>
      </c>
      <c r="B10" s="6" t="s">
        <v>91</v>
      </c>
      <c r="C10" s="6"/>
      <c r="D10" s="156">
        <v>14297.923847695391</v>
      </c>
      <c r="E10" s="295"/>
      <c r="F10" s="189">
        <f>SUM(D10-(D10*B1))</f>
        <v>14297.923847695391</v>
      </c>
      <c r="G10" s="165">
        <v>5.5057999999999998</v>
      </c>
      <c r="H10" s="162">
        <f>21.5*21.5*98/1000000</f>
        <v>4.53005E-2</v>
      </c>
    </row>
    <row r="11" spans="1:11" ht="15.6" x14ac:dyDescent="0.3">
      <c r="A11" s="74" t="s">
        <v>103</v>
      </c>
      <c r="B11" s="8" t="s">
        <v>92</v>
      </c>
      <c r="C11" s="8"/>
      <c r="D11" s="171">
        <v>16138</v>
      </c>
      <c r="E11" s="296"/>
      <c r="F11" s="198">
        <f>SUM(D11-(D11*B1))</f>
        <v>16138</v>
      </c>
      <c r="G11" s="172">
        <v>5.7827999999999999</v>
      </c>
      <c r="H11" s="173">
        <f>22.5*22.5*98/1000000</f>
        <v>4.9612499999999997E-2</v>
      </c>
    </row>
    <row r="12" spans="1:11" ht="15.6" x14ac:dyDescent="0.3">
      <c r="A12" s="9" t="s">
        <v>104</v>
      </c>
      <c r="B12" s="6" t="s">
        <v>93</v>
      </c>
      <c r="C12" s="6"/>
      <c r="D12" s="156">
        <v>18926</v>
      </c>
      <c r="E12" s="295"/>
      <c r="F12" s="189">
        <f>SUM(D12-(D12*B1))</f>
        <v>18926</v>
      </c>
      <c r="G12" s="165">
        <v>7.5117000000000003</v>
      </c>
      <c r="H12" s="162">
        <f>26.5*26.5*98/1000000</f>
        <v>6.8820500000000007E-2</v>
      </c>
    </row>
    <row r="13" spans="1:11" ht="15.6" x14ac:dyDescent="0.3">
      <c r="A13" s="74" t="s">
        <v>105</v>
      </c>
      <c r="B13" s="8" t="s">
        <v>94</v>
      </c>
      <c r="C13" s="8"/>
      <c r="D13" s="171">
        <v>25823.246492985971</v>
      </c>
      <c r="E13" s="296"/>
      <c r="F13" s="198">
        <f>SUM(D13-(D13*B1))</f>
        <v>25823.246492985971</v>
      </c>
      <c r="G13" s="172">
        <v>10.019399999999999</v>
      </c>
      <c r="H13" s="173">
        <f>32*32*98/1000000</f>
        <v>0.100352</v>
      </c>
    </row>
    <row r="14" spans="1:11" ht="15.6" x14ac:dyDescent="0.3">
      <c r="A14" s="9" t="s">
        <v>106</v>
      </c>
      <c r="B14" s="6" t="s">
        <v>95</v>
      </c>
      <c r="C14" s="6"/>
      <c r="D14" s="156">
        <v>33189.667334669335</v>
      </c>
      <c r="E14" s="295"/>
      <c r="F14" s="189">
        <f>SUM(D14-(D14*B1))</f>
        <v>33189.667334669335</v>
      </c>
      <c r="G14" s="165">
        <v>11.8431</v>
      </c>
      <c r="H14" s="162">
        <f>42*42*98/1000000</f>
        <v>0.172872</v>
      </c>
    </row>
    <row r="15" spans="1:11" ht="15.6" x14ac:dyDescent="0.3">
      <c r="A15" s="74" t="s">
        <v>107</v>
      </c>
      <c r="B15" s="8" t="s">
        <v>96</v>
      </c>
      <c r="C15" s="8"/>
      <c r="D15" s="171">
        <v>45285.819639278554</v>
      </c>
      <c r="E15" s="296"/>
      <c r="F15" s="198">
        <f>SUM(D15-(D15*B1))</f>
        <v>45285.819639278554</v>
      </c>
      <c r="G15" s="172">
        <v>14.55</v>
      </c>
      <c r="H15" s="173">
        <f>47*47*98/1000000</f>
        <v>0.21648200000000001</v>
      </c>
    </row>
    <row r="16" spans="1:11" ht="15.6" x14ac:dyDescent="0.3">
      <c r="A16" s="9" t="s">
        <v>108</v>
      </c>
      <c r="B16" s="6" t="s">
        <v>97</v>
      </c>
      <c r="C16" s="6"/>
      <c r="D16" s="156">
        <v>47677.867735470943</v>
      </c>
      <c r="E16" s="295"/>
      <c r="F16" s="189">
        <f>SUM(D16-(D16*B1))</f>
        <v>47677.867735470943</v>
      </c>
      <c r="G16" s="165">
        <v>15.5914</v>
      </c>
      <c r="H16" s="162">
        <f>52*52*98/1000000</f>
        <v>0.26499200000000001</v>
      </c>
    </row>
    <row r="17" spans="1:8" ht="15.6" x14ac:dyDescent="0.3">
      <c r="A17" s="74" t="s">
        <v>109</v>
      </c>
      <c r="B17" s="8" t="s">
        <v>98</v>
      </c>
      <c r="C17" s="8"/>
      <c r="D17" s="171">
        <v>61377.779559118237</v>
      </c>
      <c r="E17" s="296"/>
      <c r="F17" s="198">
        <f>SUM(D17-(D17*B1))</f>
        <v>61377.779559118237</v>
      </c>
      <c r="G17" s="172">
        <v>19.271699999999999</v>
      </c>
      <c r="H17" s="173">
        <f>60*60*98/1000000</f>
        <v>0.3528</v>
      </c>
    </row>
    <row r="18" spans="1:8" ht="16.2" thickBot="1" x14ac:dyDescent="0.35">
      <c r="A18" s="22" t="s">
        <v>110</v>
      </c>
      <c r="B18" s="26" t="s">
        <v>99</v>
      </c>
      <c r="C18" s="26"/>
      <c r="D18" s="157">
        <v>64014.468937875754</v>
      </c>
      <c r="E18" s="297"/>
      <c r="F18" s="191">
        <f>SUM(D18-(D18*B1))</f>
        <v>64014.468937875754</v>
      </c>
      <c r="G18" s="167">
        <v>21.132100000000001</v>
      </c>
      <c r="H18" s="164">
        <f>60*60*98/1000000</f>
        <v>0.3528</v>
      </c>
    </row>
    <row r="19" spans="1:8" ht="18" x14ac:dyDescent="0.35">
      <c r="A19" s="323" t="s">
        <v>111</v>
      </c>
      <c r="B19" s="323"/>
      <c r="C19" s="323"/>
      <c r="D19" s="323"/>
      <c r="E19" s="323"/>
      <c r="F19" s="323"/>
      <c r="G19" s="323"/>
      <c r="H19" s="323"/>
    </row>
    <row r="20" spans="1:8" ht="78" customHeight="1" x14ac:dyDescent="0.3">
      <c r="A20" s="314" t="s">
        <v>151</v>
      </c>
      <c r="B20" s="314"/>
      <c r="C20" s="314"/>
      <c r="D20" s="314"/>
      <c r="E20" s="314"/>
      <c r="F20" s="314"/>
      <c r="G20" s="314"/>
    </row>
    <row r="21" spans="1:8" ht="15.6" x14ac:dyDescent="0.3">
      <c r="A21" s="24" t="s">
        <v>18</v>
      </c>
      <c r="B21" s="24" t="s">
        <v>19</v>
      </c>
      <c r="C21" s="24"/>
      <c r="D21" s="24" t="s">
        <v>506</v>
      </c>
      <c r="E21" s="24" t="s">
        <v>460</v>
      </c>
      <c r="F21" s="24" t="s">
        <v>504</v>
      </c>
      <c r="G21" s="24" t="s">
        <v>459</v>
      </c>
      <c r="H21" s="24" t="s">
        <v>457</v>
      </c>
    </row>
    <row r="22" spans="1:8" ht="15.6" x14ac:dyDescent="0.3">
      <c r="A22" s="6" t="s">
        <v>134</v>
      </c>
      <c r="B22" s="6" t="s">
        <v>135</v>
      </c>
      <c r="C22" s="6"/>
      <c r="D22" s="156">
        <v>12860.2934888241</v>
      </c>
      <c r="E22" s="270"/>
      <c r="F22" s="189">
        <f>SUM(D22-(D22*B1))</f>
        <v>12860.2934888241</v>
      </c>
      <c r="G22" s="165">
        <v>3.6154999999999999</v>
      </c>
      <c r="H22" s="162">
        <f>14*14*98/1000000</f>
        <v>1.9207999999999999E-2</v>
      </c>
    </row>
    <row r="23" spans="1:8" ht="15.6" x14ac:dyDescent="0.3">
      <c r="A23" s="8" t="s">
        <v>112</v>
      </c>
      <c r="B23" s="8" t="s">
        <v>123</v>
      </c>
      <c r="C23" s="8"/>
      <c r="D23" s="171">
        <v>12337.6</v>
      </c>
      <c r="E23" s="273"/>
      <c r="F23" s="198">
        <f>SUM(D23-(D23*B1))</f>
        <v>12337.6</v>
      </c>
      <c r="G23" s="172">
        <v>4.0095000000000001</v>
      </c>
      <c r="H23" s="173">
        <f>17*17*98/1000000</f>
        <v>2.8322E-2</v>
      </c>
    </row>
    <row r="24" spans="1:8" ht="15.6" x14ac:dyDescent="0.3">
      <c r="A24" s="6" t="s">
        <v>113</v>
      </c>
      <c r="B24" s="6" t="s">
        <v>124</v>
      </c>
      <c r="C24" s="6"/>
      <c r="D24" s="156">
        <v>13564.1</v>
      </c>
      <c r="E24" s="270"/>
      <c r="F24" s="189">
        <f>SUM(D24-(D24*B1))</f>
        <v>13564.1</v>
      </c>
      <c r="G24" s="165">
        <v>4.5483000000000002</v>
      </c>
      <c r="H24" s="162">
        <f>19*19*98/1000000</f>
        <v>3.5378E-2</v>
      </c>
    </row>
    <row r="25" spans="1:8" ht="15.6" x14ac:dyDescent="0.3">
      <c r="A25" s="8" t="s">
        <v>114</v>
      </c>
      <c r="B25" s="8" t="s">
        <v>125</v>
      </c>
      <c r="C25" s="8"/>
      <c r="D25" s="171">
        <v>15653.000000000002</v>
      </c>
      <c r="E25" s="273"/>
      <c r="F25" s="198">
        <f>SUM(D25-(D25*B1))</f>
        <v>15653.000000000002</v>
      </c>
      <c r="G25" s="172">
        <v>5.2298</v>
      </c>
      <c r="H25" s="173">
        <f>21.5*21.5*98/1000000</f>
        <v>4.53005E-2</v>
      </c>
    </row>
    <row r="26" spans="1:8" ht="15.6" x14ac:dyDescent="0.3">
      <c r="A26" s="6" t="s">
        <v>115</v>
      </c>
      <c r="B26" s="6" t="s">
        <v>126</v>
      </c>
      <c r="C26" s="6"/>
      <c r="D26" s="156">
        <v>16138.100000000002</v>
      </c>
      <c r="E26" s="270"/>
      <c r="F26" s="189">
        <f>SUM(D26-(D26*B1))</f>
        <v>16138.100000000002</v>
      </c>
      <c r="G26" s="165">
        <v>5.5228000000000002</v>
      </c>
      <c r="H26" s="162">
        <f>22.5*22.5*98/1000000</f>
        <v>4.9612499999999997E-2</v>
      </c>
    </row>
    <row r="27" spans="1:8" ht="15.6" x14ac:dyDescent="0.3">
      <c r="A27" s="8" t="s">
        <v>116</v>
      </c>
      <c r="B27" s="8" t="s">
        <v>127</v>
      </c>
      <c r="C27" s="8"/>
      <c r="D27" s="171">
        <v>18925.5</v>
      </c>
      <c r="E27" s="273"/>
      <c r="F27" s="198">
        <f>SUM(D27-(D27*B1))</f>
        <v>18925.5</v>
      </c>
      <c r="G27" s="172">
        <v>6.7923999999999998</v>
      </c>
      <c r="H27" s="173">
        <f>26.5*26.5*98/1000000</f>
        <v>6.8820500000000007E-2</v>
      </c>
    </row>
    <row r="28" spans="1:8" ht="15.6" x14ac:dyDescent="0.3">
      <c r="A28" s="6" t="s">
        <v>117</v>
      </c>
      <c r="B28" s="6" t="s">
        <v>128</v>
      </c>
      <c r="C28" s="6"/>
      <c r="D28" s="156">
        <v>27208.500000000004</v>
      </c>
      <c r="E28" s="270"/>
      <c r="F28" s="189">
        <f>SUM(D28-(D28*B1))</f>
        <v>27208.500000000004</v>
      </c>
      <c r="G28" s="165">
        <v>9.1097000000000001</v>
      </c>
      <c r="H28" s="162">
        <f>32*32*98/1000000</f>
        <v>0.100352</v>
      </c>
    </row>
    <row r="29" spans="1:8" ht="15.6" x14ac:dyDescent="0.3">
      <c r="A29" s="8" t="s">
        <v>118</v>
      </c>
      <c r="B29" s="8" t="s">
        <v>129</v>
      </c>
      <c r="C29" s="8"/>
      <c r="D29" s="171">
        <v>29112.600000000002</v>
      </c>
      <c r="E29" s="273"/>
      <c r="F29" s="198">
        <f>SUM(D29-(D29*B1))</f>
        <v>29112.600000000002</v>
      </c>
      <c r="G29" s="172">
        <v>11.3688</v>
      </c>
      <c r="H29" s="173">
        <f>42*42*98/1000000</f>
        <v>0.172872</v>
      </c>
    </row>
    <row r="30" spans="1:8" ht="15.6" x14ac:dyDescent="0.3">
      <c r="A30" s="6" t="s">
        <v>119</v>
      </c>
      <c r="B30" s="6" t="s">
        <v>130</v>
      </c>
      <c r="C30" s="6"/>
      <c r="D30" s="156">
        <v>44110.824100887439</v>
      </c>
      <c r="E30" s="270"/>
      <c r="F30" s="189">
        <f>SUM(D30-(D30*B1))</f>
        <v>44110.824100887439</v>
      </c>
      <c r="G30" s="165">
        <v>13.593400000000001</v>
      </c>
      <c r="H30" s="162">
        <f>47*47*98/1000000</f>
        <v>0.21648200000000001</v>
      </c>
    </row>
    <row r="31" spans="1:8" ht="15.6" x14ac:dyDescent="0.3">
      <c r="A31" s="8" t="s">
        <v>120</v>
      </c>
      <c r="B31" s="8" t="s">
        <v>131</v>
      </c>
      <c r="C31" s="8"/>
      <c r="D31" s="171">
        <v>45402.602241943016</v>
      </c>
      <c r="E31" s="273"/>
      <c r="F31" s="198">
        <f>SUM(D31-(D31*B1))</f>
        <v>45402.602241943016</v>
      </c>
      <c r="G31" s="172">
        <v>14.569599999999999</v>
      </c>
      <c r="H31" s="173">
        <f>52*52*98/1000000</f>
        <v>0.26499200000000001</v>
      </c>
    </row>
    <row r="32" spans="1:8" ht="15.6" x14ac:dyDescent="0.3">
      <c r="A32" s="6" t="s">
        <v>121</v>
      </c>
      <c r="B32" s="6" t="s">
        <v>132</v>
      </c>
      <c r="C32" s="6"/>
      <c r="D32" s="156">
        <v>59557.771134983661</v>
      </c>
      <c r="E32" s="270"/>
      <c r="F32" s="189">
        <f>SUM(D32-(D32*B1))</f>
        <v>59557.771134983661</v>
      </c>
      <c r="G32" s="165">
        <v>18.607299999999999</v>
      </c>
      <c r="H32" s="162">
        <f>60*60*98/1000000</f>
        <v>0.3528</v>
      </c>
    </row>
    <row r="33" spans="1:8" ht="16.2" thickBot="1" x14ac:dyDescent="0.35">
      <c r="A33" s="25" t="s">
        <v>122</v>
      </c>
      <c r="B33" s="25" t="s">
        <v>133</v>
      </c>
      <c r="C33" s="25"/>
      <c r="D33" s="171">
        <v>61814.983465670259</v>
      </c>
      <c r="E33" s="274"/>
      <c r="F33" s="199">
        <f>SUM(D33-(D33*B1))</f>
        <v>61814.983465670259</v>
      </c>
      <c r="G33" s="174">
        <v>20.0044</v>
      </c>
      <c r="H33" s="175">
        <f>60*60*98/1000000</f>
        <v>0.3528</v>
      </c>
    </row>
    <row r="34" spans="1:8" ht="18" x14ac:dyDescent="0.35">
      <c r="A34" s="323" t="s">
        <v>136</v>
      </c>
      <c r="B34" s="323"/>
      <c r="C34" s="323"/>
      <c r="D34" s="323"/>
      <c r="E34" s="323"/>
      <c r="F34" s="323"/>
      <c r="G34" s="323"/>
      <c r="H34" s="323"/>
    </row>
    <row r="35" spans="1:8" ht="78" customHeight="1" x14ac:dyDescent="0.3">
      <c r="A35" s="314" t="s">
        <v>150</v>
      </c>
      <c r="B35" s="314"/>
      <c r="C35" s="314"/>
      <c r="D35" s="314"/>
      <c r="E35" s="314"/>
      <c r="F35" s="314"/>
      <c r="G35" s="314"/>
    </row>
    <row r="36" spans="1:8" ht="15.6" x14ac:dyDescent="0.3">
      <c r="A36" s="24" t="s">
        <v>18</v>
      </c>
      <c r="B36" s="24" t="s">
        <v>19</v>
      </c>
      <c r="C36" s="24"/>
      <c r="D36" s="24" t="s">
        <v>503</v>
      </c>
      <c r="E36" s="24" t="s">
        <v>460</v>
      </c>
      <c r="F36" s="24" t="s">
        <v>504</v>
      </c>
      <c r="G36" s="24" t="s">
        <v>459</v>
      </c>
      <c r="H36" s="24" t="s">
        <v>457</v>
      </c>
    </row>
    <row r="37" spans="1:8" ht="15.6" x14ac:dyDescent="0.3">
      <c r="A37" s="6" t="s">
        <v>143</v>
      </c>
      <c r="B37" s="6" t="s">
        <v>137</v>
      </c>
      <c r="C37" s="6"/>
      <c r="D37" s="156">
        <v>6078.7125000000005</v>
      </c>
      <c r="E37" s="270"/>
      <c r="F37" s="189">
        <f>SUM(D37-(D37*B1))</f>
        <v>6078.7125000000005</v>
      </c>
      <c r="G37" s="165">
        <v>2.6023999999999998</v>
      </c>
      <c r="H37" s="162">
        <f>38*38*25/1000000</f>
        <v>3.61E-2</v>
      </c>
    </row>
    <row r="38" spans="1:8" ht="15.6" x14ac:dyDescent="0.3">
      <c r="A38" s="8" t="s">
        <v>144</v>
      </c>
      <c r="B38" s="8" t="s">
        <v>138</v>
      </c>
      <c r="C38" s="8"/>
      <c r="D38" s="171">
        <v>6055.1820000000007</v>
      </c>
      <c r="E38" s="273"/>
      <c r="F38" s="198">
        <f>SUM(D38-(D38*B1))</f>
        <v>6055.1820000000007</v>
      </c>
      <c r="G38" s="172">
        <v>2.9228000000000001</v>
      </c>
      <c r="H38" s="173">
        <f>38*38*29/1000000</f>
        <v>4.1875999999999997E-2</v>
      </c>
    </row>
    <row r="39" spans="1:8" ht="15.6" x14ac:dyDescent="0.3">
      <c r="A39" s="6" t="s">
        <v>145</v>
      </c>
      <c r="B39" s="6" t="s">
        <v>139</v>
      </c>
      <c r="C39" s="6"/>
      <c r="D39" s="156">
        <v>6604.2270000000008</v>
      </c>
      <c r="E39" s="270"/>
      <c r="F39" s="189">
        <f>SUM(D39-(D39*B1))</f>
        <v>6604.2270000000008</v>
      </c>
      <c r="G39" s="165">
        <v>3.3300999999999998</v>
      </c>
      <c r="H39" s="162">
        <f>38*38*34/1000000</f>
        <v>4.9096000000000001E-2</v>
      </c>
    </row>
    <row r="40" spans="1:8" ht="15.6" x14ac:dyDescent="0.3">
      <c r="A40" s="8" t="s">
        <v>146</v>
      </c>
      <c r="B40" s="8" t="s">
        <v>140</v>
      </c>
      <c r="C40" s="8"/>
      <c r="D40" s="171">
        <v>6690.5055000000002</v>
      </c>
      <c r="E40" s="273"/>
      <c r="F40" s="198">
        <f>SUM(D40-(D40*B1))</f>
        <v>6690.5055000000002</v>
      </c>
      <c r="G40" s="172">
        <v>3.4710999999999999</v>
      </c>
      <c r="H40" s="173">
        <f>32*32*33/1000000</f>
        <v>3.3792000000000003E-2</v>
      </c>
    </row>
    <row r="41" spans="1:8" ht="15.6" x14ac:dyDescent="0.3">
      <c r="A41" s="6" t="s">
        <v>147</v>
      </c>
      <c r="B41" s="6" t="s">
        <v>141</v>
      </c>
      <c r="C41" s="6"/>
      <c r="D41" s="156">
        <v>7929.7785000000003</v>
      </c>
      <c r="E41" s="270"/>
      <c r="F41" s="189">
        <f>SUM(D41-(D41*B1))</f>
        <v>7929.7785000000003</v>
      </c>
      <c r="G41" s="165">
        <v>4.1683000000000003</v>
      </c>
      <c r="H41" s="162">
        <f>40*40*33/1000000</f>
        <v>5.28E-2</v>
      </c>
    </row>
    <row r="42" spans="1:8" ht="15.6" x14ac:dyDescent="0.3">
      <c r="A42" s="8" t="s">
        <v>490</v>
      </c>
      <c r="B42" s="8" t="s">
        <v>491</v>
      </c>
      <c r="C42" s="8"/>
      <c r="D42" s="171">
        <v>9365.139000000001</v>
      </c>
      <c r="E42" s="273"/>
      <c r="F42" s="198">
        <f>SUM(D42-(D42*B1))</f>
        <v>9365.139000000001</v>
      </c>
      <c r="G42" s="172">
        <v>5.2</v>
      </c>
      <c r="H42" s="173">
        <f>50*50*33/1000000</f>
        <v>8.2500000000000004E-2</v>
      </c>
    </row>
    <row r="43" spans="1:8" ht="16.2" thickBot="1" x14ac:dyDescent="0.35">
      <c r="A43" s="26" t="s">
        <v>148</v>
      </c>
      <c r="B43" s="26" t="s">
        <v>142</v>
      </c>
      <c r="C43" s="26"/>
      <c r="D43" s="157">
        <v>11122.083000000002</v>
      </c>
      <c r="E43" s="272"/>
      <c r="F43" s="191">
        <f>SUM(D43-(D43*B1))</f>
        <v>11122.083000000002</v>
      </c>
      <c r="G43" s="167">
        <v>6.1003999999999996</v>
      </c>
      <c r="H43" s="164">
        <f>63*63*33/1000000</f>
        <v>0.13097700000000001</v>
      </c>
    </row>
    <row r="44" spans="1:8" x14ac:dyDescent="0.3">
      <c r="A44" s="3"/>
      <c r="B44" s="3"/>
      <c r="C44" s="3"/>
      <c r="D44" s="3"/>
    </row>
    <row r="45" spans="1:8" x14ac:dyDescent="0.3">
      <c r="A45" s="3"/>
      <c r="B45" s="3"/>
      <c r="C45" s="3"/>
      <c r="D45" s="3"/>
    </row>
    <row r="46" spans="1:8" x14ac:dyDescent="0.3">
      <c r="A46" s="3"/>
      <c r="B46" s="3"/>
      <c r="C46" s="3"/>
      <c r="D46" s="3"/>
    </row>
    <row r="47" spans="1:8" x14ac:dyDescent="0.3">
      <c r="A47" s="3"/>
      <c r="B47" s="3"/>
      <c r="C47" s="3"/>
      <c r="D47" s="3"/>
    </row>
    <row r="48" spans="1:8" x14ac:dyDescent="0.3">
      <c r="A48" s="3"/>
      <c r="B48" s="3"/>
      <c r="C48" s="3"/>
      <c r="D48" s="3"/>
    </row>
    <row r="49" spans="1:4" x14ac:dyDescent="0.3">
      <c r="A49" s="3"/>
      <c r="B49" s="3"/>
      <c r="C49" s="3"/>
      <c r="D49" s="3"/>
    </row>
    <row r="50" spans="1:4" x14ac:dyDescent="0.3">
      <c r="A50" s="3"/>
      <c r="B50" s="3"/>
      <c r="C50" s="3"/>
      <c r="D50" s="3"/>
    </row>
    <row r="51" spans="1:4" x14ac:dyDescent="0.3">
      <c r="A51" s="3"/>
      <c r="B51" s="3"/>
      <c r="C51" s="3"/>
      <c r="D51" s="3"/>
    </row>
    <row r="52" spans="1:4" x14ac:dyDescent="0.3">
      <c r="A52" s="3"/>
      <c r="B52" s="3"/>
      <c r="C52" s="3"/>
      <c r="D52" s="3"/>
    </row>
    <row r="53" spans="1:4" x14ac:dyDescent="0.3">
      <c r="A53" s="3"/>
      <c r="B53" s="3"/>
      <c r="C53" s="3"/>
      <c r="D53" s="3"/>
    </row>
    <row r="54" spans="1:4" x14ac:dyDescent="0.3">
      <c r="A54" s="3"/>
      <c r="B54" s="3"/>
      <c r="C54" s="3"/>
      <c r="D54" s="3"/>
    </row>
    <row r="55" spans="1:4" x14ac:dyDescent="0.3">
      <c r="A55" s="3"/>
      <c r="B55" s="3"/>
      <c r="C55" s="3"/>
      <c r="D55" s="3"/>
    </row>
    <row r="56" spans="1:4" x14ac:dyDescent="0.3">
      <c r="A56" s="3"/>
      <c r="B56" s="3"/>
      <c r="C56" s="3"/>
      <c r="D56" s="3"/>
    </row>
    <row r="57" spans="1:4" x14ac:dyDescent="0.3">
      <c r="A57" s="3"/>
      <c r="B57" s="3"/>
      <c r="C57" s="3"/>
      <c r="D57" s="3"/>
    </row>
    <row r="58" spans="1:4" x14ac:dyDescent="0.3">
      <c r="A58" s="3"/>
      <c r="B58" s="3"/>
      <c r="C58" s="3"/>
      <c r="D58" s="3"/>
    </row>
    <row r="59" spans="1:4" x14ac:dyDescent="0.3">
      <c r="A59" s="3"/>
      <c r="B59" s="3"/>
      <c r="C59" s="3"/>
      <c r="D59" s="3"/>
    </row>
    <row r="60" spans="1:4" x14ac:dyDescent="0.3">
      <c r="A60" s="3"/>
      <c r="B60" s="3"/>
      <c r="C60" s="3"/>
      <c r="D60" s="3"/>
    </row>
    <row r="61" spans="1:4" x14ac:dyDescent="0.3">
      <c r="A61" s="3"/>
      <c r="B61" s="3"/>
      <c r="C61" s="3"/>
      <c r="D61" s="3"/>
    </row>
    <row r="62" spans="1:4" x14ac:dyDescent="0.3">
      <c r="A62" s="3"/>
      <c r="B62" s="3"/>
      <c r="C62" s="3"/>
      <c r="D62" s="3"/>
    </row>
    <row r="63" spans="1:4" x14ac:dyDescent="0.3">
      <c r="A63" s="3"/>
      <c r="B63" s="3"/>
      <c r="C63" s="3"/>
      <c r="D63" s="3"/>
    </row>
    <row r="64" spans="1:4" x14ac:dyDescent="0.3">
      <c r="A64" s="3"/>
      <c r="B64" s="3"/>
      <c r="C64" s="3"/>
      <c r="D64" s="3"/>
    </row>
    <row r="65" spans="1:4" x14ac:dyDescent="0.3">
      <c r="A65" s="3"/>
      <c r="B65" s="3"/>
      <c r="C65" s="3"/>
      <c r="D65" s="3"/>
    </row>
    <row r="66" spans="1:4" x14ac:dyDescent="0.3">
      <c r="A66" s="3"/>
      <c r="B66" s="3"/>
      <c r="C66" s="3"/>
      <c r="D66" s="3"/>
    </row>
    <row r="67" spans="1:4" x14ac:dyDescent="0.3">
      <c r="A67" s="3"/>
      <c r="B67" s="3"/>
      <c r="C67" s="3"/>
      <c r="D67" s="3"/>
    </row>
    <row r="68" spans="1:4" x14ac:dyDescent="0.3">
      <c r="A68" s="3"/>
      <c r="B68" s="3"/>
      <c r="C68" s="3"/>
      <c r="D68" s="3"/>
    </row>
    <row r="69" spans="1:4" x14ac:dyDescent="0.3">
      <c r="A69" s="3"/>
      <c r="B69" s="3"/>
      <c r="C69" s="3"/>
      <c r="D69" s="3"/>
    </row>
    <row r="70" spans="1:4" x14ac:dyDescent="0.3">
      <c r="A70" s="3"/>
      <c r="B70" s="3"/>
      <c r="C70" s="3"/>
      <c r="D70" s="3"/>
    </row>
    <row r="71" spans="1:4" x14ac:dyDescent="0.3">
      <c r="A71" s="3"/>
      <c r="B71" s="3"/>
      <c r="C71" s="3"/>
      <c r="D71" s="3"/>
    </row>
    <row r="72" spans="1:4" x14ac:dyDescent="0.3">
      <c r="A72" s="3"/>
      <c r="B72" s="3"/>
      <c r="C72" s="3"/>
      <c r="D72" s="3"/>
    </row>
    <row r="73" spans="1:4" x14ac:dyDescent="0.3">
      <c r="A73" s="3"/>
      <c r="B73" s="3"/>
      <c r="C73" s="3"/>
      <c r="D73" s="3"/>
    </row>
    <row r="74" spans="1:4" x14ac:dyDescent="0.3">
      <c r="A74" s="3"/>
      <c r="B74" s="3"/>
      <c r="C74" s="3"/>
      <c r="D74" s="3"/>
    </row>
    <row r="75" spans="1:4" x14ac:dyDescent="0.3">
      <c r="A75" s="3"/>
      <c r="B75" s="3"/>
      <c r="C75" s="3"/>
      <c r="D75" s="3"/>
    </row>
    <row r="76" spans="1:4" x14ac:dyDescent="0.3">
      <c r="A76" s="3"/>
      <c r="B76" s="3"/>
      <c r="C76" s="3"/>
      <c r="D76" s="3"/>
    </row>
    <row r="77" spans="1:4" x14ac:dyDescent="0.3">
      <c r="A77" s="3"/>
      <c r="B77" s="3"/>
      <c r="C77" s="3"/>
      <c r="D77" s="3"/>
    </row>
    <row r="78" spans="1:4" x14ac:dyDescent="0.3">
      <c r="A78" s="3"/>
      <c r="B78" s="3"/>
      <c r="C78" s="3"/>
      <c r="D78" s="3"/>
    </row>
    <row r="79" spans="1:4" x14ac:dyDescent="0.3">
      <c r="A79" s="3"/>
      <c r="B79" s="3"/>
      <c r="C79" s="3"/>
      <c r="D79" s="3"/>
    </row>
    <row r="80" spans="1:4" x14ac:dyDescent="0.3">
      <c r="A80" s="3"/>
      <c r="B80" s="3"/>
      <c r="C80" s="3"/>
      <c r="D80" s="3"/>
    </row>
    <row r="81" spans="1:4" x14ac:dyDescent="0.3">
      <c r="A81" s="3"/>
      <c r="B81" s="3"/>
      <c r="C81" s="3"/>
      <c r="D81" s="3"/>
    </row>
  </sheetData>
  <mergeCells count="9">
    <mergeCell ref="A34:H34"/>
    <mergeCell ref="A35:G35"/>
    <mergeCell ref="A4:H4"/>
    <mergeCell ref="A5:H5"/>
    <mergeCell ref="A2:H2"/>
    <mergeCell ref="A3:H3"/>
    <mergeCell ref="A6:G6"/>
    <mergeCell ref="A19:H19"/>
    <mergeCell ref="A20:G20"/>
  </mergeCells>
  <hyperlinks>
    <hyperlink ref="A19" r:id="rId1"/>
    <hyperlink ref="A34" r:id="rId2" display="ISOSLEEVE"/>
    <hyperlink ref="A5:G5" r:id="rId3" display="SONODEC 25"/>
  </hyperlinks>
  <pageMargins left="0.7" right="0.7" top="0.75" bottom="0.75" header="0.3" footer="0.3"/>
  <pageSetup paperSize="9" orientation="portrait" r:id="rId4"/>
  <drawing r:id="rId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I91"/>
  <sheetViews>
    <sheetView showGridLines="0" showRowColHeaders="0" zoomScale="85" zoomScaleNormal="85" workbookViewId="0">
      <pane ySplit="1" topLeftCell="A11" activePane="bottomLeft" state="frozen"/>
      <selection pane="bottomLeft" activeCell="D17" sqref="D17"/>
    </sheetView>
  </sheetViews>
  <sheetFormatPr defaultRowHeight="14.4" x14ac:dyDescent="0.3"/>
  <cols>
    <col min="1" max="8" width="20.77734375" customWidth="1"/>
  </cols>
  <sheetData>
    <row r="1" spans="1:9" ht="30" customHeight="1" thickBot="1" x14ac:dyDescent="0.35">
      <c r="A1" s="124" t="s">
        <v>455</v>
      </c>
      <c r="B1" s="225">
        <f>Содержание!D15</f>
        <v>0</v>
      </c>
      <c r="C1" s="124" t="s">
        <v>522</v>
      </c>
      <c r="D1" s="224">
        <f>SUM(E8*F8+E9*F9+E10*F10+E11*F11+E12*F12+E13*F13+E17*F17+E18*F18+E19*F19+E20*F20+E21*F21+E22*F22)</f>
        <v>0</v>
      </c>
      <c r="E1" s="124" t="s">
        <v>458</v>
      </c>
      <c r="F1" s="223">
        <f>SUM(E8*G8+E9*G9+E10*G10+E11*G11+E12*G12+E13*G13+E17*G17+E18*G18+E19*G19+E20*G20+E21*G21+E22*G22)</f>
        <v>0</v>
      </c>
      <c r="G1" s="124" t="s">
        <v>456</v>
      </c>
      <c r="H1" s="222">
        <f>SUM(E8*H8+E9*H9+E10*H10+E11*H11+E12*H12+E13*H13+E17*H17+E18*H18+E19*H19+E20*H20+E21*H21+E22*H22)</f>
        <v>0</v>
      </c>
      <c r="I1" s="176"/>
    </row>
    <row r="2" spans="1:9" ht="18" x14ac:dyDescent="0.35">
      <c r="A2" s="326" t="s">
        <v>561</v>
      </c>
      <c r="B2" s="326"/>
      <c r="C2" s="326"/>
      <c r="D2" s="326"/>
      <c r="E2" s="326"/>
      <c r="F2" s="326"/>
      <c r="G2" s="326"/>
      <c r="H2" s="326"/>
    </row>
    <row r="3" spans="1:9" x14ac:dyDescent="0.3">
      <c r="A3" s="315"/>
      <c r="B3" s="315"/>
      <c r="C3" s="315"/>
      <c r="D3" s="315"/>
      <c r="E3" s="315"/>
      <c r="F3" s="315"/>
      <c r="G3" s="315"/>
      <c r="H3" s="315"/>
    </row>
    <row r="4" spans="1:9" ht="18" x14ac:dyDescent="0.35">
      <c r="A4" s="329" t="s">
        <v>8</v>
      </c>
      <c r="B4" s="329"/>
      <c r="C4" s="329"/>
      <c r="D4" s="329"/>
      <c r="E4" s="329"/>
      <c r="F4" s="329"/>
      <c r="G4" s="329"/>
      <c r="H4" s="329"/>
    </row>
    <row r="5" spans="1:9" ht="18" x14ac:dyDescent="0.35">
      <c r="A5" s="328" t="s">
        <v>149</v>
      </c>
      <c r="B5" s="328"/>
      <c r="C5" s="328"/>
      <c r="D5" s="328"/>
      <c r="E5" s="328"/>
      <c r="F5" s="328"/>
      <c r="G5" s="328"/>
      <c r="H5" s="328"/>
    </row>
    <row r="6" spans="1:9" ht="78" customHeight="1" x14ac:dyDescent="0.3">
      <c r="A6" s="314" t="s">
        <v>195</v>
      </c>
      <c r="B6" s="314"/>
      <c r="C6" s="314"/>
      <c r="D6" s="314"/>
      <c r="E6" s="314"/>
      <c r="F6" s="314"/>
      <c r="G6" s="314"/>
      <c r="H6" s="96"/>
    </row>
    <row r="7" spans="1:9" ht="15.6" x14ac:dyDescent="0.3">
      <c r="A7" s="27" t="s">
        <v>18</v>
      </c>
      <c r="B7" s="27" t="s">
        <v>19</v>
      </c>
      <c r="C7" s="27"/>
      <c r="D7" s="27" t="s">
        <v>506</v>
      </c>
      <c r="E7" s="27" t="s">
        <v>460</v>
      </c>
      <c r="F7" s="27" t="s">
        <v>504</v>
      </c>
      <c r="G7" s="27" t="s">
        <v>459</v>
      </c>
      <c r="H7" s="27" t="s">
        <v>466</v>
      </c>
    </row>
    <row r="8" spans="1:9" ht="15.6" x14ac:dyDescent="0.3">
      <c r="A8" s="9" t="s">
        <v>158</v>
      </c>
      <c r="B8" s="9" t="s">
        <v>153</v>
      </c>
      <c r="C8" s="9"/>
      <c r="D8" s="144">
        <v>2190</v>
      </c>
      <c r="E8" s="275"/>
      <c r="F8" s="192">
        <f>SUM(D8-(D8*B1))</f>
        <v>2190</v>
      </c>
      <c r="G8" s="149">
        <v>0.64656999999999998</v>
      </c>
      <c r="H8" s="152">
        <f>11.6*11.6*39/1000000</f>
        <v>5.2478400000000001E-3</v>
      </c>
    </row>
    <row r="9" spans="1:9" ht="15.6" x14ac:dyDescent="0.3">
      <c r="A9" s="29" t="s">
        <v>159</v>
      </c>
      <c r="B9" s="29" t="s">
        <v>154</v>
      </c>
      <c r="C9" s="29"/>
      <c r="D9" s="177">
        <v>2715</v>
      </c>
      <c r="E9" s="276"/>
      <c r="F9" s="200">
        <f>SUM(D9-(D9*B1))</f>
        <v>2715</v>
      </c>
      <c r="G9" s="179">
        <v>0.66</v>
      </c>
      <c r="H9" s="180">
        <f>14*14*39/1000000</f>
        <v>7.6439999999999998E-3</v>
      </c>
    </row>
    <row r="10" spans="1:9" ht="15.6" x14ac:dyDescent="0.3">
      <c r="A10" s="9" t="s">
        <v>160</v>
      </c>
      <c r="B10" s="9" t="s">
        <v>155</v>
      </c>
      <c r="C10" s="9"/>
      <c r="D10" s="144">
        <v>3455</v>
      </c>
      <c r="E10" s="275"/>
      <c r="F10" s="192">
        <f>SUM(D10-(D10*B1))</f>
        <v>3455</v>
      </c>
      <c r="G10" s="149">
        <v>0.99209999999999998</v>
      </c>
      <c r="H10" s="152">
        <f>17*17*39/1000000</f>
        <v>1.1271E-2</v>
      </c>
    </row>
    <row r="11" spans="1:9" ht="15.6" x14ac:dyDescent="0.3">
      <c r="A11" s="29" t="s">
        <v>161</v>
      </c>
      <c r="B11" s="29" t="s">
        <v>156</v>
      </c>
      <c r="C11" s="29"/>
      <c r="D11" s="177">
        <v>4330</v>
      </c>
      <c r="E11" s="276"/>
      <c r="F11" s="200">
        <f>SUM(D11-(D11*B1))</f>
        <v>4330</v>
      </c>
      <c r="G11" s="179">
        <v>1.2699</v>
      </c>
      <c r="H11" s="180">
        <f>21.5*21.5*39/1000000</f>
        <v>1.8027749999999999E-2</v>
      </c>
    </row>
    <row r="12" spans="1:9" ht="15.6" x14ac:dyDescent="0.3">
      <c r="A12" s="9" t="s">
        <v>162</v>
      </c>
      <c r="B12" s="9" t="s">
        <v>157</v>
      </c>
      <c r="C12" s="9"/>
      <c r="D12" s="144">
        <v>8490</v>
      </c>
      <c r="E12" s="275"/>
      <c r="F12" s="192">
        <f>SUM(D12-(D12*B1))</f>
        <v>8490</v>
      </c>
      <c r="G12" s="149">
        <v>1.7</v>
      </c>
      <c r="H12" s="152">
        <f>27*27*58/1000000</f>
        <v>4.2282E-2</v>
      </c>
    </row>
    <row r="13" spans="1:9" ht="16.2" thickBot="1" x14ac:dyDescent="0.35">
      <c r="A13" s="29" t="s">
        <v>496</v>
      </c>
      <c r="B13" s="29" t="s">
        <v>467</v>
      </c>
      <c r="C13" s="29"/>
      <c r="D13" s="178">
        <v>12430</v>
      </c>
      <c r="E13" s="276"/>
      <c r="F13" s="200">
        <f>SUM(D13-(D13*B1))</f>
        <v>12430</v>
      </c>
      <c r="G13" s="179">
        <v>1.7436</v>
      </c>
      <c r="H13" s="180">
        <f>32*32*59/1000000</f>
        <v>6.0415999999999997E-2</v>
      </c>
    </row>
    <row r="14" spans="1:9" ht="15" customHeight="1" x14ac:dyDescent="0.35">
      <c r="A14" s="327" t="s">
        <v>163</v>
      </c>
      <c r="B14" s="327"/>
      <c r="C14" s="327"/>
      <c r="D14" s="327"/>
      <c r="E14" s="327"/>
      <c r="F14" s="327"/>
      <c r="G14" s="327"/>
      <c r="H14" s="327"/>
    </row>
    <row r="15" spans="1:9" ht="78" customHeight="1" x14ac:dyDescent="0.3">
      <c r="A15" s="314" t="s">
        <v>196</v>
      </c>
      <c r="B15" s="314"/>
      <c r="C15" s="314"/>
      <c r="D15" s="314"/>
      <c r="E15" s="314"/>
      <c r="F15" s="314"/>
      <c r="G15" s="314"/>
    </row>
    <row r="16" spans="1:9" ht="15.6" x14ac:dyDescent="0.3">
      <c r="A16" s="27" t="s">
        <v>18</v>
      </c>
      <c r="B16" s="27" t="s">
        <v>19</v>
      </c>
      <c r="C16" s="27"/>
      <c r="D16" s="27" t="s">
        <v>506</v>
      </c>
      <c r="E16" s="27" t="s">
        <v>460</v>
      </c>
      <c r="F16" s="27" t="s">
        <v>504</v>
      </c>
      <c r="G16" s="27" t="s">
        <v>459</v>
      </c>
      <c r="H16" s="27" t="s">
        <v>466</v>
      </c>
    </row>
    <row r="17" spans="1:8" ht="15.6" x14ac:dyDescent="0.3">
      <c r="A17" s="9" t="s">
        <v>170</v>
      </c>
      <c r="B17" s="9" t="s">
        <v>164</v>
      </c>
      <c r="C17" s="9"/>
      <c r="D17" s="144">
        <v>3066</v>
      </c>
      <c r="E17" s="275"/>
      <c r="F17" s="192">
        <f>SUM(D17-(D17*B1))</f>
        <v>3066</v>
      </c>
      <c r="G17" s="149">
        <v>0.69</v>
      </c>
      <c r="H17" s="152">
        <f>11.6*11.6*80/1000000</f>
        <v>1.07648E-2</v>
      </c>
    </row>
    <row r="18" spans="1:8" ht="15.6" x14ac:dyDescent="0.3">
      <c r="A18" s="29" t="s">
        <v>171</v>
      </c>
      <c r="B18" s="29" t="s">
        <v>165</v>
      </c>
      <c r="C18" s="29"/>
      <c r="D18" s="177">
        <v>4112</v>
      </c>
      <c r="E18" s="276"/>
      <c r="F18" s="200">
        <f>SUM(D18-(D18*B1))</f>
        <v>4112</v>
      </c>
      <c r="G18" s="179">
        <v>0.85</v>
      </c>
      <c r="H18" s="180">
        <f>14*14*80/1000000</f>
        <v>1.5679999999999999E-2</v>
      </c>
    </row>
    <row r="19" spans="1:8" ht="15.6" x14ac:dyDescent="0.3">
      <c r="A19" s="9" t="s">
        <v>172</v>
      </c>
      <c r="B19" s="9" t="s">
        <v>166</v>
      </c>
      <c r="C19" s="9"/>
      <c r="D19" s="144">
        <v>5088</v>
      </c>
      <c r="E19" s="275"/>
      <c r="F19" s="192">
        <f>SUM(D19-(D19*B1))</f>
        <v>5088</v>
      </c>
      <c r="G19" s="149">
        <v>1.0720000000000001</v>
      </c>
      <c r="H19" s="152">
        <f>17*17*80/1000000</f>
        <v>2.3120000000000002E-2</v>
      </c>
    </row>
    <row r="20" spans="1:8" ht="15.6" x14ac:dyDescent="0.3">
      <c r="A20" s="29" t="s">
        <v>174</v>
      </c>
      <c r="B20" s="29" t="s">
        <v>167</v>
      </c>
      <c r="C20" s="29"/>
      <c r="D20" s="177">
        <v>8090</v>
      </c>
      <c r="E20" s="276"/>
      <c r="F20" s="200">
        <f>SUM(D20-(D20*B1))</f>
        <v>8090</v>
      </c>
      <c r="G20" s="179">
        <v>1.35023</v>
      </c>
      <c r="H20" s="180">
        <f>22*22*80/1000000</f>
        <v>3.8719999999999997E-2</v>
      </c>
    </row>
    <row r="21" spans="1:8" ht="15.6" x14ac:dyDescent="0.3">
      <c r="A21" s="9" t="s">
        <v>173</v>
      </c>
      <c r="B21" s="9" t="s">
        <v>168</v>
      </c>
      <c r="C21" s="9"/>
      <c r="D21" s="144">
        <v>13102</v>
      </c>
      <c r="E21" s="275"/>
      <c r="F21" s="192">
        <f>SUM(D21-(D21*B1))</f>
        <v>13102</v>
      </c>
      <c r="G21" s="149">
        <v>1.7203999999999999</v>
      </c>
      <c r="H21" s="152">
        <f>27*27*80/1000000</f>
        <v>5.8319999999999997E-2</v>
      </c>
    </row>
    <row r="22" spans="1:8" ht="16.2" thickBot="1" x14ac:dyDescent="0.35">
      <c r="A22" s="30" t="s">
        <v>175</v>
      </c>
      <c r="B22" s="30" t="s">
        <v>169</v>
      </c>
      <c r="C22" s="95"/>
      <c r="D22" s="178">
        <v>19190</v>
      </c>
      <c r="E22" s="277"/>
      <c r="F22" s="201">
        <f>SUM(D22-(D22*B1))</f>
        <v>19190</v>
      </c>
      <c r="G22" s="181">
        <v>2</v>
      </c>
      <c r="H22" s="182">
        <f>33*33*80/1000000</f>
        <v>8.7120000000000003E-2</v>
      </c>
    </row>
    <row r="23" spans="1:8" x14ac:dyDescent="0.3">
      <c r="A23" s="3"/>
      <c r="B23" s="3"/>
      <c r="C23" s="3"/>
      <c r="D23" s="3"/>
    </row>
    <row r="24" spans="1:8" x14ac:dyDescent="0.3">
      <c r="A24" s="3"/>
      <c r="B24" s="3"/>
      <c r="C24" s="3"/>
      <c r="D24" s="3"/>
    </row>
    <row r="25" spans="1:8" x14ac:dyDescent="0.3">
      <c r="A25" s="3"/>
      <c r="B25" s="3"/>
      <c r="C25" s="3"/>
      <c r="D25" s="3"/>
    </row>
    <row r="26" spans="1:8" x14ac:dyDescent="0.3">
      <c r="A26" s="3"/>
      <c r="B26" s="3"/>
      <c r="C26" s="3"/>
      <c r="D26" s="3"/>
    </row>
    <row r="27" spans="1:8" x14ac:dyDescent="0.3">
      <c r="A27" s="3"/>
      <c r="B27" s="3"/>
      <c r="C27" s="3"/>
      <c r="D27" s="3"/>
    </row>
    <row r="28" spans="1:8" x14ac:dyDescent="0.3">
      <c r="A28" s="3"/>
      <c r="B28" s="3"/>
      <c r="C28" s="3"/>
      <c r="D28" s="3"/>
    </row>
    <row r="29" spans="1:8" x14ac:dyDescent="0.3">
      <c r="A29" s="3"/>
      <c r="B29" s="3"/>
      <c r="C29" s="3"/>
      <c r="D29" s="3"/>
    </row>
    <row r="30" spans="1:8" x14ac:dyDescent="0.3">
      <c r="A30" s="3"/>
      <c r="B30" s="3"/>
      <c r="C30" s="3"/>
      <c r="D30" s="3"/>
    </row>
    <row r="31" spans="1:8" x14ac:dyDescent="0.3">
      <c r="A31" s="3"/>
      <c r="B31" s="3"/>
      <c r="C31" s="3"/>
      <c r="D31" s="3"/>
    </row>
    <row r="32" spans="1:8" x14ac:dyDescent="0.3">
      <c r="A32" s="3"/>
      <c r="B32" s="3"/>
      <c r="C32" s="3"/>
      <c r="D32" s="3"/>
    </row>
    <row r="33" spans="1:4" x14ac:dyDescent="0.3">
      <c r="A33" s="3"/>
      <c r="B33" s="3"/>
      <c r="C33" s="3"/>
      <c r="D33" s="3"/>
    </row>
    <row r="34" spans="1:4" x14ac:dyDescent="0.3">
      <c r="A34" s="3"/>
      <c r="B34" s="3"/>
      <c r="C34" s="3"/>
      <c r="D34" s="3"/>
    </row>
    <row r="35" spans="1:4" x14ac:dyDescent="0.3">
      <c r="A35" s="3"/>
      <c r="B35" s="3"/>
      <c r="C35" s="3"/>
      <c r="D35" s="3"/>
    </row>
    <row r="36" spans="1:4" x14ac:dyDescent="0.3">
      <c r="A36" s="3"/>
      <c r="B36" s="3"/>
      <c r="C36" s="3"/>
      <c r="D36" s="3"/>
    </row>
    <row r="37" spans="1:4" x14ac:dyDescent="0.3">
      <c r="A37" s="3"/>
      <c r="B37" s="3"/>
      <c r="C37" s="3"/>
      <c r="D37" s="3"/>
    </row>
    <row r="38" spans="1:4" x14ac:dyDescent="0.3">
      <c r="A38" s="3"/>
      <c r="B38" s="3"/>
      <c r="C38" s="3"/>
      <c r="D38" s="3"/>
    </row>
    <row r="39" spans="1:4" x14ac:dyDescent="0.3">
      <c r="A39" s="3"/>
      <c r="B39" s="3"/>
      <c r="C39" s="3"/>
      <c r="D39" s="3"/>
    </row>
    <row r="40" spans="1:4" x14ac:dyDescent="0.3">
      <c r="A40" s="3"/>
      <c r="B40" s="3"/>
      <c r="C40" s="3"/>
      <c r="D40" s="3"/>
    </row>
    <row r="41" spans="1:4" x14ac:dyDescent="0.3">
      <c r="A41" s="3"/>
      <c r="B41" s="3"/>
      <c r="C41" s="3"/>
      <c r="D41" s="3"/>
    </row>
    <row r="42" spans="1:4" x14ac:dyDescent="0.3">
      <c r="A42" s="3"/>
      <c r="B42" s="3"/>
      <c r="C42" s="3"/>
      <c r="D42" s="3"/>
    </row>
    <row r="43" spans="1:4" x14ac:dyDescent="0.3">
      <c r="A43" s="3"/>
      <c r="B43" s="3"/>
      <c r="C43" s="3"/>
      <c r="D43" s="3"/>
    </row>
    <row r="44" spans="1:4" x14ac:dyDescent="0.3">
      <c r="A44" s="3"/>
      <c r="B44" s="3"/>
      <c r="C44" s="3"/>
      <c r="D44" s="3"/>
    </row>
    <row r="45" spans="1:4" x14ac:dyDescent="0.3">
      <c r="A45" s="3"/>
      <c r="B45" s="3"/>
      <c r="C45" s="3"/>
      <c r="D45" s="3"/>
    </row>
    <row r="46" spans="1:4" x14ac:dyDescent="0.3">
      <c r="A46" s="3"/>
      <c r="B46" s="3"/>
      <c r="C46" s="3"/>
      <c r="D46" s="3"/>
    </row>
    <row r="47" spans="1:4" x14ac:dyDescent="0.3">
      <c r="A47" s="3"/>
      <c r="B47" s="3"/>
      <c r="C47" s="3"/>
      <c r="D47" s="3"/>
    </row>
    <row r="48" spans="1:4" x14ac:dyDescent="0.3">
      <c r="A48" s="3"/>
      <c r="B48" s="3"/>
      <c r="C48" s="3"/>
      <c r="D48" s="3"/>
    </row>
    <row r="49" spans="1:4" x14ac:dyDescent="0.3">
      <c r="A49" s="3"/>
      <c r="B49" s="3"/>
      <c r="C49" s="3"/>
      <c r="D49" s="3"/>
    </row>
    <row r="50" spans="1:4" x14ac:dyDescent="0.3">
      <c r="A50" s="3"/>
      <c r="B50" s="3"/>
      <c r="C50" s="3"/>
      <c r="D50" s="3"/>
    </row>
    <row r="51" spans="1:4" x14ac:dyDescent="0.3">
      <c r="A51" s="3"/>
      <c r="B51" s="3"/>
      <c r="C51" s="3"/>
      <c r="D51" s="3"/>
    </row>
    <row r="52" spans="1:4" x14ac:dyDescent="0.3">
      <c r="A52" s="3"/>
      <c r="B52" s="3"/>
      <c r="C52" s="3"/>
      <c r="D52" s="3"/>
    </row>
    <row r="53" spans="1:4" x14ac:dyDescent="0.3">
      <c r="A53" s="3"/>
      <c r="B53" s="3"/>
      <c r="C53" s="3"/>
      <c r="D53" s="3"/>
    </row>
    <row r="54" spans="1:4" x14ac:dyDescent="0.3">
      <c r="A54" s="3"/>
      <c r="B54" s="3"/>
      <c r="C54" s="3"/>
      <c r="D54" s="3"/>
    </row>
    <row r="55" spans="1:4" x14ac:dyDescent="0.3">
      <c r="A55" s="3"/>
      <c r="B55" s="3"/>
      <c r="C55" s="3"/>
      <c r="D55" s="3"/>
    </row>
    <row r="56" spans="1:4" x14ac:dyDescent="0.3">
      <c r="A56" s="3"/>
      <c r="B56" s="3"/>
      <c r="C56" s="3"/>
      <c r="D56" s="3"/>
    </row>
    <row r="57" spans="1:4" x14ac:dyDescent="0.3">
      <c r="A57" s="3"/>
      <c r="B57" s="3"/>
      <c r="C57" s="3"/>
      <c r="D57" s="3"/>
    </row>
    <row r="58" spans="1:4" x14ac:dyDescent="0.3">
      <c r="A58" s="3"/>
      <c r="B58" s="3"/>
      <c r="C58" s="3"/>
      <c r="D58" s="3"/>
    </row>
    <row r="59" spans="1:4" x14ac:dyDescent="0.3">
      <c r="A59" s="3"/>
      <c r="B59" s="3"/>
      <c r="C59" s="3"/>
      <c r="D59" s="3"/>
    </row>
    <row r="60" spans="1:4" x14ac:dyDescent="0.3">
      <c r="A60" s="3"/>
      <c r="B60" s="3"/>
      <c r="C60" s="3"/>
      <c r="D60" s="3"/>
    </row>
    <row r="61" spans="1:4" x14ac:dyDescent="0.3">
      <c r="A61" s="3"/>
      <c r="B61" s="3"/>
      <c r="C61" s="3"/>
      <c r="D61" s="3"/>
    </row>
    <row r="62" spans="1:4" x14ac:dyDescent="0.3">
      <c r="A62" s="3"/>
      <c r="B62" s="3"/>
      <c r="C62" s="3"/>
      <c r="D62" s="3"/>
    </row>
    <row r="63" spans="1:4" x14ac:dyDescent="0.3">
      <c r="A63" s="3"/>
      <c r="B63" s="3"/>
      <c r="C63" s="3"/>
      <c r="D63" s="3"/>
    </row>
    <row r="64" spans="1:4" x14ac:dyDescent="0.3">
      <c r="A64" s="3"/>
      <c r="B64" s="3"/>
      <c r="C64" s="3"/>
      <c r="D64" s="3"/>
    </row>
    <row r="65" spans="1:4" x14ac:dyDescent="0.3">
      <c r="A65" s="3"/>
      <c r="B65" s="3"/>
      <c r="C65" s="3"/>
      <c r="D65" s="3"/>
    </row>
    <row r="66" spans="1:4" x14ac:dyDescent="0.3">
      <c r="A66" s="3"/>
      <c r="B66" s="3"/>
      <c r="C66" s="3"/>
      <c r="D66" s="3"/>
    </row>
    <row r="67" spans="1:4" x14ac:dyDescent="0.3">
      <c r="A67" s="3"/>
      <c r="B67" s="3"/>
      <c r="C67" s="3"/>
      <c r="D67" s="3"/>
    </row>
    <row r="68" spans="1:4" x14ac:dyDescent="0.3">
      <c r="A68" s="3"/>
      <c r="B68" s="3"/>
      <c r="C68" s="3"/>
      <c r="D68" s="3"/>
    </row>
    <row r="69" spans="1:4" x14ac:dyDescent="0.3">
      <c r="A69" s="3"/>
      <c r="B69" s="3"/>
      <c r="C69" s="3"/>
      <c r="D69" s="3"/>
    </row>
    <row r="70" spans="1:4" x14ac:dyDescent="0.3">
      <c r="A70" s="3"/>
      <c r="B70" s="3"/>
      <c r="C70" s="3"/>
      <c r="D70" s="3"/>
    </row>
    <row r="71" spans="1:4" x14ac:dyDescent="0.3">
      <c r="A71" s="3"/>
      <c r="B71" s="3"/>
      <c r="C71" s="3"/>
      <c r="D71" s="3"/>
    </row>
    <row r="72" spans="1:4" x14ac:dyDescent="0.3">
      <c r="A72" s="3"/>
      <c r="B72" s="3"/>
      <c r="C72" s="3"/>
      <c r="D72" s="3"/>
    </row>
    <row r="73" spans="1:4" x14ac:dyDescent="0.3">
      <c r="A73" s="3"/>
      <c r="B73" s="3"/>
      <c r="C73" s="3"/>
      <c r="D73" s="3"/>
    </row>
    <row r="74" spans="1:4" x14ac:dyDescent="0.3">
      <c r="A74" s="3"/>
      <c r="B74" s="3"/>
      <c r="C74" s="3"/>
      <c r="D74" s="3"/>
    </row>
    <row r="75" spans="1:4" x14ac:dyDescent="0.3">
      <c r="A75" s="3"/>
      <c r="B75" s="3"/>
      <c r="C75" s="3"/>
      <c r="D75" s="3"/>
    </row>
    <row r="76" spans="1:4" x14ac:dyDescent="0.3">
      <c r="A76" s="3"/>
      <c r="B76" s="3"/>
      <c r="C76" s="3"/>
      <c r="D76" s="3"/>
    </row>
    <row r="77" spans="1:4" x14ac:dyDescent="0.3">
      <c r="A77" s="3"/>
      <c r="B77" s="3"/>
      <c r="C77" s="3"/>
      <c r="D77" s="3"/>
    </row>
    <row r="78" spans="1:4" x14ac:dyDescent="0.3">
      <c r="A78" s="3"/>
      <c r="B78" s="3"/>
      <c r="C78" s="3"/>
      <c r="D78" s="3"/>
    </row>
    <row r="79" spans="1:4" x14ac:dyDescent="0.3">
      <c r="A79" s="3"/>
      <c r="B79" s="3"/>
      <c r="C79" s="3"/>
      <c r="D79" s="3"/>
    </row>
    <row r="80" spans="1:4" x14ac:dyDescent="0.3">
      <c r="A80" s="3"/>
      <c r="B80" s="3"/>
      <c r="C80" s="3"/>
      <c r="D80" s="3"/>
    </row>
    <row r="81" spans="1:4" x14ac:dyDescent="0.3">
      <c r="A81" s="3"/>
      <c r="B81" s="3"/>
      <c r="C81" s="3"/>
      <c r="D81" s="3"/>
    </row>
    <row r="82" spans="1:4" x14ac:dyDescent="0.3">
      <c r="A82" s="3"/>
      <c r="B82" s="3"/>
      <c r="C82" s="3"/>
      <c r="D82" s="3"/>
    </row>
    <row r="83" spans="1:4" x14ac:dyDescent="0.3">
      <c r="A83" s="3"/>
      <c r="B83" s="3"/>
      <c r="C83" s="3"/>
      <c r="D83" s="3"/>
    </row>
    <row r="84" spans="1:4" x14ac:dyDescent="0.3">
      <c r="A84" s="3"/>
      <c r="B84" s="3"/>
      <c r="C84" s="3"/>
      <c r="D84" s="3"/>
    </row>
    <row r="85" spans="1:4" x14ac:dyDescent="0.3">
      <c r="A85" s="3"/>
      <c r="B85" s="3"/>
      <c r="C85" s="3"/>
      <c r="D85" s="3"/>
    </row>
    <row r="86" spans="1:4" x14ac:dyDescent="0.3">
      <c r="A86" s="3"/>
      <c r="B86" s="3"/>
      <c r="C86" s="3"/>
      <c r="D86" s="3"/>
    </row>
    <row r="87" spans="1:4" x14ac:dyDescent="0.3">
      <c r="A87" s="3"/>
      <c r="B87" s="3"/>
      <c r="C87" s="3"/>
      <c r="D87" s="3"/>
    </row>
    <row r="88" spans="1:4" x14ac:dyDescent="0.3">
      <c r="A88" s="3"/>
      <c r="B88" s="3"/>
      <c r="C88" s="3"/>
      <c r="D88" s="3"/>
    </row>
    <row r="89" spans="1:4" x14ac:dyDescent="0.3">
      <c r="A89" s="3"/>
      <c r="B89" s="3"/>
      <c r="C89" s="3"/>
      <c r="D89" s="3"/>
    </row>
    <row r="90" spans="1:4" x14ac:dyDescent="0.3">
      <c r="A90" s="3"/>
      <c r="B90" s="3"/>
      <c r="C90" s="3"/>
      <c r="D90" s="3"/>
    </row>
    <row r="91" spans="1:4" x14ac:dyDescent="0.3">
      <c r="A91" s="3"/>
      <c r="B91" s="3"/>
      <c r="C91" s="3"/>
      <c r="D91" s="3"/>
    </row>
  </sheetData>
  <mergeCells count="7">
    <mergeCell ref="A2:H2"/>
    <mergeCell ref="A3:H3"/>
    <mergeCell ref="A15:G15"/>
    <mergeCell ref="A6:G6"/>
    <mergeCell ref="A14:H14"/>
    <mergeCell ref="A5:H5"/>
    <mergeCell ref="A4:H4"/>
  </mergeCells>
  <hyperlinks>
    <hyperlink ref="A5:G5" r:id="rId1" display="SEMIDEC"/>
    <hyperlink ref="A14:G14" r:id="rId2" display="STRETCHDEC"/>
  </hyperlinks>
  <printOptions headings="1" gridLines="1"/>
  <pageMargins left="0.7" right="0.7" top="0.75" bottom="0.75" header="0.3" footer="0.3"/>
  <pageSetup paperSize="9" orientation="portrait" verticalDpi="0" r:id="rId3"/>
  <drawing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I46"/>
  <sheetViews>
    <sheetView showGridLines="0" showRowColHeaders="0" zoomScale="85" zoomScaleNormal="85" workbookViewId="0">
      <pane ySplit="1" topLeftCell="A17" activePane="bottomLeft" state="frozen"/>
      <selection pane="bottomLeft" activeCell="D11" sqref="D11"/>
    </sheetView>
  </sheetViews>
  <sheetFormatPr defaultRowHeight="14.4" x14ac:dyDescent="0.3"/>
  <cols>
    <col min="1" max="8" width="20.77734375" customWidth="1"/>
  </cols>
  <sheetData>
    <row r="1" spans="1:9" ht="30" customHeight="1" thickBot="1" x14ac:dyDescent="0.35">
      <c r="A1" s="125" t="s">
        <v>455</v>
      </c>
      <c r="B1" s="213">
        <f>Содержание!D15</f>
        <v>0</v>
      </c>
      <c r="C1" s="125" t="s">
        <v>522</v>
      </c>
      <c r="D1" s="212">
        <f>SUM(E8*F8+E9*F9+E10*F10+E11*F11+E12*F12+E13*F13+E14*F14+E15*F15+E16*F16+E20*F20+E21*F21+E22*F22+E23*F23+E24*F24+E25*F25+E26*F26+E27*F27+E28*F28)</f>
        <v>0</v>
      </c>
      <c r="E1" s="125" t="s">
        <v>458</v>
      </c>
      <c r="F1" s="211">
        <f>SUM(E8*G8+E9*G9+E10*G10+E11*G11+E12*G12+E13*G13+E14*G14+E15*G15+E16*G16+E20*G20+E21*G21+E22*G22+E23*G23+E24*G24+E25*G25+E26*G26+E27*G27+E28*G28)</f>
        <v>0</v>
      </c>
      <c r="G1" s="125" t="s">
        <v>456</v>
      </c>
      <c r="H1" s="210">
        <f>SUM(E8*H8+E9*H9+E10*H10+E11*H11+E12*H12+E13*H13+E14*H14+E15*H15+E16*H16+E20*H20+E21*H21+E22*H22+E23*H23+E24*H24+E25*H25+E26*H26+E27*H27+E28*H28)</f>
        <v>0</v>
      </c>
      <c r="I1" s="176"/>
    </row>
    <row r="2" spans="1:9" ht="18" x14ac:dyDescent="0.35">
      <c r="A2" s="331" t="s">
        <v>561</v>
      </c>
      <c r="B2" s="331"/>
      <c r="C2" s="331"/>
      <c r="D2" s="331"/>
      <c r="E2" s="331"/>
      <c r="F2" s="331"/>
      <c r="G2" s="331"/>
      <c r="H2" s="331"/>
    </row>
    <row r="3" spans="1:9" x14ac:dyDescent="0.3">
      <c r="A3" s="315"/>
      <c r="B3" s="315"/>
      <c r="C3" s="315"/>
      <c r="D3" s="315"/>
      <c r="E3" s="315"/>
      <c r="F3" s="315"/>
      <c r="G3" s="315"/>
      <c r="H3" s="315"/>
    </row>
    <row r="4" spans="1:9" ht="18.75" customHeight="1" x14ac:dyDescent="0.35">
      <c r="A4" s="332" t="s">
        <v>10</v>
      </c>
      <c r="B4" s="332"/>
      <c r="C4" s="332"/>
      <c r="D4" s="332"/>
      <c r="E4" s="332"/>
      <c r="F4" s="332"/>
      <c r="G4" s="332"/>
      <c r="H4" s="332"/>
    </row>
    <row r="5" spans="1:9" ht="18.75" customHeight="1" x14ac:dyDescent="0.35">
      <c r="A5" s="330" t="s">
        <v>176</v>
      </c>
      <c r="B5" s="330"/>
      <c r="C5" s="330"/>
      <c r="D5" s="330"/>
      <c r="E5" s="330"/>
      <c r="F5" s="330"/>
      <c r="G5" s="330"/>
      <c r="H5" s="330"/>
    </row>
    <row r="6" spans="1:9" ht="78" customHeight="1" x14ac:dyDescent="0.3">
      <c r="A6" s="314" t="s">
        <v>391</v>
      </c>
      <c r="B6" s="314"/>
      <c r="C6" s="314"/>
      <c r="D6" s="314"/>
      <c r="E6" s="314"/>
      <c r="F6" s="314"/>
      <c r="G6" s="314"/>
    </row>
    <row r="7" spans="1:9" ht="15.6" x14ac:dyDescent="0.3">
      <c r="A7" s="31" t="s">
        <v>18</v>
      </c>
      <c r="B7" s="31" t="s">
        <v>19</v>
      </c>
      <c r="C7" s="31"/>
      <c r="D7" s="31" t="s">
        <v>506</v>
      </c>
      <c r="E7" s="31" t="s">
        <v>460</v>
      </c>
      <c r="F7" s="31" t="s">
        <v>504</v>
      </c>
      <c r="G7" s="31" t="s">
        <v>459</v>
      </c>
      <c r="H7" s="31" t="s">
        <v>457</v>
      </c>
    </row>
    <row r="8" spans="1:9" ht="15.6" x14ac:dyDescent="0.3">
      <c r="A8" s="9" t="s">
        <v>186</v>
      </c>
      <c r="B8" s="6" t="s">
        <v>177</v>
      </c>
      <c r="C8" s="10"/>
      <c r="D8" s="156">
        <v>4803.21</v>
      </c>
      <c r="E8" s="270"/>
      <c r="F8" s="189">
        <f>SUM(D8-(D8*B1))</f>
        <v>4803.21</v>
      </c>
      <c r="G8" s="71"/>
      <c r="H8" s="107"/>
    </row>
    <row r="9" spans="1:9" ht="15.6" x14ac:dyDescent="0.3">
      <c r="A9" s="56" t="s">
        <v>193</v>
      </c>
      <c r="B9" s="11" t="s">
        <v>178</v>
      </c>
      <c r="C9" s="12"/>
      <c r="D9" s="183">
        <v>3714</v>
      </c>
      <c r="E9" s="278"/>
      <c r="F9" s="190">
        <f>SUM(D9-(D9*B1))</f>
        <v>3714</v>
      </c>
      <c r="G9" s="77"/>
      <c r="H9" s="126"/>
    </row>
    <row r="10" spans="1:9" ht="15.6" x14ac:dyDescent="0.3">
      <c r="A10" s="9" t="s">
        <v>192</v>
      </c>
      <c r="B10" s="6" t="s">
        <v>179</v>
      </c>
      <c r="C10" s="10"/>
      <c r="D10" s="156">
        <v>4090</v>
      </c>
      <c r="E10" s="270"/>
      <c r="F10" s="189">
        <f>SUM(D10-(D10*B1))</f>
        <v>4090</v>
      </c>
      <c r="G10" s="71"/>
      <c r="H10" s="107"/>
    </row>
    <row r="11" spans="1:9" ht="15.6" x14ac:dyDescent="0.3">
      <c r="A11" s="56" t="s">
        <v>191</v>
      </c>
      <c r="B11" s="11" t="s">
        <v>180</v>
      </c>
      <c r="C11" s="12"/>
      <c r="D11" s="183">
        <v>5288</v>
      </c>
      <c r="E11" s="278"/>
      <c r="F11" s="190">
        <f>SUM(D11-(D11*B1))</f>
        <v>5288</v>
      </c>
      <c r="G11" s="77"/>
      <c r="H11" s="126"/>
    </row>
    <row r="12" spans="1:9" ht="15.6" x14ac:dyDescent="0.3">
      <c r="A12" s="9" t="s">
        <v>190</v>
      </c>
      <c r="B12" s="6" t="s">
        <v>181</v>
      </c>
      <c r="C12" s="10"/>
      <c r="D12" s="156">
        <v>5922</v>
      </c>
      <c r="E12" s="270"/>
      <c r="F12" s="189">
        <f>SUM(D12-(D12*B1))</f>
        <v>5922</v>
      </c>
      <c r="G12" s="71"/>
      <c r="H12" s="107"/>
    </row>
    <row r="13" spans="1:9" ht="15.6" x14ac:dyDescent="0.3">
      <c r="A13" s="56" t="s">
        <v>189</v>
      </c>
      <c r="B13" s="11" t="s">
        <v>182</v>
      </c>
      <c r="C13" s="12"/>
      <c r="D13" s="183">
        <v>7105</v>
      </c>
      <c r="E13" s="278"/>
      <c r="F13" s="190">
        <f>SUM(D13-(D13*B1))</f>
        <v>7105</v>
      </c>
      <c r="G13" s="77"/>
      <c r="H13" s="126"/>
    </row>
    <row r="14" spans="1:9" ht="15.6" x14ac:dyDescent="0.3">
      <c r="A14" s="9" t="s">
        <v>188</v>
      </c>
      <c r="B14" s="6" t="s">
        <v>183</v>
      </c>
      <c r="C14" s="10"/>
      <c r="D14" s="156">
        <v>9092</v>
      </c>
      <c r="E14" s="270"/>
      <c r="F14" s="189">
        <f>SUM(D14-(D14*B1))</f>
        <v>9092</v>
      </c>
      <c r="G14" s="71"/>
      <c r="H14" s="107"/>
    </row>
    <row r="15" spans="1:9" ht="15.6" x14ac:dyDescent="0.3">
      <c r="A15" s="56" t="s">
        <v>187</v>
      </c>
      <c r="B15" s="11" t="s">
        <v>184</v>
      </c>
      <c r="C15" s="12"/>
      <c r="D15" s="183">
        <v>13251.78</v>
      </c>
      <c r="E15" s="278"/>
      <c r="F15" s="190">
        <f>SUM(D15-(D15*B1))</f>
        <v>13251.78</v>
      </c>
      <c r="G15" s="77"/>
      <c r="H15" s="126"/>
    </row>
    <row r="16" spans="1:9" ht="16.2" thickBot="1" x14ac:dyDescent="0.35">
      <c r="A16" s="22" t="s">
        <v>194</v>
      </c>
      <c r="B16" s="26" t="s">
        <v>185</v>
      </c>
      <c r="C16" s="32"/>
      <c r="D16" s="157">
        <v>14379.75</v>
      </c>
      <c r="E16" s="279"/>
      <c r="F16" s="191">
        <f>SUM(D16-(D16*B1))</f>
        <v>14379.75</v>
      </c>
      <c r="G16" s="23"/>
      <c r="H16" s="23"/>
    </row>
    <row r="17" spans="1:8" ht="18" x14ac:dyDescent="0.35">
      <c r="A17" s="330" t="s">
        <v>469</v>
      </c>
      <c r="B17" s="330"/>
      <c r="C17" s="330"/>
      <c r="D17" s="330"/>
      <c r="E17" s="330"/>
      <c r="F17" s="330"/>
      <c r="G17" s="330"/>
      <c r="H17" s="330"/>
    </row>
    <row r="18" spans="1:8" ht="78" customHeight="1" x14ac:dyDescent="0.3">
      <c r="A18" s="314" t="s">
        <v>391</v>
      </c>
      <c r="B18" s="314"/>
      <c r="C18" s="314"/>
      <c r="D18" s="314"/>
      <c r="E18" s="314"/>
      <c r="F18" s="314"/>
      <c r="G18" s="314"/>
    </row>
    <row r="19" spans="1:8" ht="15.6" x14ac:dyDescent="0.3">
      <c r="A19" s="31" t="s">
        <v>18</v>
      </c>
      <c r="B19" s="31" t="s">
        <v>19</v>
      </c>
      <c r="C19" s="31"/>
      <c r="D19" s="31" t="s">
        <v>506</v>
      </c>
      <c r="E19" s="31" t="s">
        <v>460</v>
      </c>
      <c r="F19" s="31" t="s">
        <v>504</v>
      </c>
      <c r="G19" s="31" t="s">
        <v>459</v>
      </c>
      <c r="H19" s="31" t="s">
        <v>457</v>
      </c>
    </row>
    <row r="20" spans="1:8" ht="15.6" x14ac:dyDescent="0.3">
      <c r="A20" s="9" t="s">
        <v>470</v>
      </c>
      <c r="B20" s="6" t="s">
        <v>471</v>
      </c>
      <c r="C20" s="10"/>
      <c r="D20" s="156">
        <v>4282.5876010781667</v>
      </c>
      <c r="E20" s="270"/>
      <c r="F20" s="189">
        <f>D20-(D20*B1)</f>
        <v>4282.5876010781667</v>
      </c>
      <c r="G20" s="71"/>
      <c r="H20" s="107"/>
    </row>
    <row r="21" spans="1:8" ht="15.6" x14ac:dyDescent="0.3">
      <c r="A21" s="56" t="s">
        <v>472</v>
      </c>
      <c r="B21" s="11" t="s">
        <v>473</v>
      </c>
      <c r="C21" s="12"/>
      <c r="D21" s="183">
        <v>3454</v>
      </c>
      <c r="E21" s="278"/>
      <c r="F21" s="190">
        <f>D21-(D21*B1)</f>
        <v>3454</v>
      </c>
      <c r="G21" s="77"/>
      <c r="H21" s="126"/>
    </row>
    <row r="22" spans="1:8" ht="15.6" x14ac:dyDescent="0.3">
      <c r="A22" s="9" t="s">
        <v>474</v>
      </c>
      <c r="B22" s="6" t="s">
        <v>475</v>
      </c>
      <c r="C22" s="10"/>
      <c r="D22" s="156">
        <v>3622</v>
      </c>
      <c r="E22" s="270"/>
      <c r="F22" s="189">
        <f>D22-(D22*B1)</f>
        <v>3622</v>
      </c>
      <c r="G22" s="71"/>
      <c r="H22" s="107"/>
    </row>
    <row r="23" spans="1:8" ht="15.6" x14ac:dyDescent="0.3">
      <c r="A23" s="56" t="s">
        <v>476</v>
      </c>
      <c r="B23" s="11" t="s">
        <v>477</v>
      </c>
      <c r="C23" s="12"/>
      <c r="D23" s="183">
        <v>4017</v>
      </c>
      <c r="E23" s="278"/>
      <c r="F23" s="190">
        <f>D23-(D23*B1)</f>
        <v>4017</v>
      </c>
      <c r="G23" s="77"/>
      <c r="H23" s="126"/>
    </row>
    <row r="24" spans="1:8" ht="15.6" x14ac:dyDescent="0.3">
      <c r="A24" s="9" t="s">
        <v>478</v>
      </c>
      <c r="B24" s="6" t="s">
        <v>479</v>
      </c>
      <c r="C24" s="10"/>
      <c r="D24" s="156">
        <v>4636</v>
      </c>
      <c r="E24" s="270"/>
      <c r="F24" s="189">
        <f>D24-(D24*B1)</f>
        <v>4636</v>
      </c>
      <c r="G24" s="71"/>
      <c r="H24" s="107"/>
    </row>
    <row r="25" spans="1:8" ht="15.6" x14ac:dyDescent="0.3">
      <c r="A25" s="56" t="s">
        <v>480</v>
      </c>
      <c r="B25" s="11" t="s">
        <v>481</v>
      </c>
      <c r="C25" s="12"/>
      <c r="D25" s="183">
        <v>6132</v>
      </c>
      <c r="E25" s="278"/>
      <c r="F25" s="190">
        <f>D25-(D25*B1)</f>
        <v>6132</v>
      </c>
      <c r="G25" s="77"/>
      <c r="H25" s="126"/>
    </row>
    <row r="26" spans="1:8" ht="15.6" x14ac:dyDescent="0.3">
      <c r="A26" s="9" t="s">
        <v>482</v>
      </c>
      <c r="B26" s="6" t="s">
        <v>483</v>
      </c>
      <c r="C26" s="10"/>
      <c r="D26" s="156">
        <v>7475</v>
      </c>
      <c r="E26" s="270"/>
      <c r="F26" s="189">
        <f>D26-(D26*B1)</f>
        <v>7475</v>
      </c>
      <c r="G26" s="71"/>
      <c r="H26" s="107"/>
    </row>
    <row r="27" spans="1:8" ht="15.6" x14ac:dyDescent="0.3">
      <c r="A27" s="56" t="s">
        <v>484</v>
      </c>
      <c r="B27" s="11" t="s">
        <v>485</v>
      </c>
      <c r="C27" s="12"/>
      <c r="D27" s="183">
        <v>9255.33</v>
      </c>
      <c r="E27" s="278"/>
      <c r="F27" s="190">
        <f>D27-(D27*B1)</f>
        <v>9255.33</v>
      </c>
      <c r="G27" s="77"/>
      <c r="H27" s="126"/>
    </row>
    <row r="28" spans="1:8" ht="16.2" thickBot="1" x14ac:dyDescent="0.35">
      <c r="A28" s="22" t="s">
        <v>486</v>
      </c>
      <c r="B28" s="26" t="s">
        <v>487</v>
      </c>
      <c r="C28" s="32"/>
      <c r="D28" s="157">
        <v>10480.410000000002</v>
      </c>
      <c r="E28" s="272"/>
      <c r="F28" s="191">
        <f>D28-(D28*B1)</f>
        <v>10480.410000000002</v>
      </c>
      <c r="G28" s="23"/>
      <c r="H28" s="23"/>
    </row>
    <row r="29" spans="1:8" x14ac:dyDescent="0.3">
      <c r="A29" s="3"/>
      <c r="B29" s="3"/>
      <c r="C29" s="3"/>
      <c r="D29" s="3"/>
    </row>
    <row r="30" spans="1:8" x14ac:dyDescent="0.3">
      <c r="A30" s="3"/>
      <c r="B30" s="3"/>
      <c r="C30" s="3"/>
      <c r="D30" s="3"/>
    </row>
    <row r="31" spans="1:8" x14ac:dyDescent="0.3">
      <c r="A31" s="3"/>
      <c r="B31" s="3"/>
      <c r="C31" s="3"/>
      <c r="D31" s="3"/>
    </row>
    <row r="32" spans="1:8" x14ac:dyDescent="0.3">
      <c r="A32" s="3"/>
      <c r="B32" s="3"/>
      <c r="C32" s="3"/>
      <c r="D32" s="3"/>
    </row>
    <row r="33" spans="1:4" x14ac:dyDescent="0.3">
      <c r="A33" s="3"/>
      <c r="B33" s="3"/>
      <c r="C33" s="3"/>
      <c r="D33" s="3"/>
    </row>
    <row r="34" spans="1:4" x14ac:dyDescent="0.3">
      <c r="A34" s="3"/>
      <c r="B34" s="3"/>
      <c r="C34" s="3"/>
      <c r="D34" s="3"/>
    </row>
    <row r="35" spans="1:4" x14ac:dyDescent="0.3">
      <c r="A35" s="3"/>
      <c r="B35" s="3"/>
      <c r="C35" s="3"/>
      <c r="D35" s="3"/>
    </row>
    <row r="36" spans="1:4" x14ac:dyDescent="0.3">
      <c r="A36" s="3"/>
      <c r="B36" s="3"/>
      <c r="C36" s="3"/>
      <c r="D36" s="3"/>
    </row>
    <row r="37" spans="1:4" x14ac:dyDescent="0.3">
      <c r="A37" s="3"/>
      <c r="B37" s="3"/>
      <c r="C37" s="3"/>
      <c r="D37" s="3"/>
    </row>
    <row r="38" spans="1:4" x14ac:dyDescent="0.3">
      <c r="A38" s="3"/>
      <c r="B38" s="3"/>
      <c r="C38" s="3"/>
      <c r="D38" s="3"/>
    </row>
    <row r="39" spans="1:4" x14ac:dyDescent="0.3">
      <c r="A39" s="3"/>
      <c r="B39" s="3"/>
      <c r="C39" s="3"/>
      <c r="D39" s="3"/>
    </row>
    <row r="40" spans="1:4" x14ac:dyDescent="0.3">
      <c r="A40" s="3"/>
      <c r="B40" s="3"/>
      <c r="C40" s="3"/>
      <c r="D40" s="3"/>
    </row>
    <row r="41" spans="1:4" x14ac:dyDescent="0.3">
      <c r="A41" s="3"/>
      <c r="B41" s="3"/>
      <c r="C41" s="3"/>
      <c r="D41" s="3"/>
    </row>
    <row r="42" spans="1:4" x14ac:dyDescent="0.3">
      <c r="A42" s="3"/>
      <c r="B42" s="3"/>
      <c r="C42" s="3"/>
      <c r="D42" s="3"/>
    </row>
    <row r="43" spans="1:4" x14ac:dyDescent="0.3">
      <c r="A43" s="3"/>
      <c r="B43" s="3"/>
      <c r="C43" s="3"/>
      <c r="D43" s="3"/>
    </row>
    <row r="44" spans="1:4" x14ac:dyDescent="0.3">
      <c r="A44" s="3"/>
      <c r="B44" s="3"/>
      <c r="C44" s="3"/>
      <c r="D44" s="3"/>
    </row>
    <row r="45" spans="1:4" x14ac:dyDescent="0.3">
      <c r="A45" s="3"/>
      <c r="B45" s="3"/>
      <c r="C45" s="3"/>
      <c r="D45" s="3"/>
    </row>
    <row r="46" spans="1:4" x14ac:dyDescent="0.3">
      <c r="A46" s="3"/>
      <c r="B46" s="3"/>
      <c r="C46" s="3"/>
      <c r="D46" s="3"/>
    </row>
  </sheetData>
  <mergeCells count="7">
    <mergeCell ref="A17:H17"/>
    <mergeCell ref="A18:G18"/>
    <mergeCell ref="A2:H2"/>
    <mergeCell ref="A3:H3"/>
    <mergeCell ref="A6:G6"/>
    <mergeCell ref="A4:H4"/>
    <mergeCell ref="A5:H5"/>
  </mergeCells>
  <hyperlinks>
    <hyperlink ref="A5" r:id="rId1"/>
    <hyperlink ref="A17" r:id="rId2" display="SONODEC 25 GLX"/>
    <hyperlink ref="A17:H17" r:id="rId3" display="SONODEC 25 TRD"/>
  </hyperlinks>
  <pageMargins left="0.7" right="0.7" top="0.75" bottom="0.75" header="0.3" footer="0.3"/>
  <drawing r:id="rId4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H91"/>
  <sheetViews>
    <sheetView showGridLines="0" showRowColHeaders="0" zoomScale="85" zoomScaleNormal="85" workbookViewId="0">
      <pane ySplit="1" topLeftCell="A74" activePane="bottomLeft" state="frozen"/>
      <selection pane="bottomLeft" activeCell="I94" sqref="I94"/>
    </sheetView>
  </sheetViews>
  <sheetFormatPr defaultRowHeight="14.4" x14ac:dyDescent="0.3"/>
  <cols>
    <col min="1" max="8" width="20.77734375" customWidth="1"/>
  </cols>
  <sheetData>
    <row r="1" spans="1:8" s="116" customFormat="1" ht="30" customHeight="1" x14ac:dyDescent="0.3">
      <c r="A1" s="137" t="s">
        <v>455</v>
      </c>
      <c r="B1" s="206">
        <f>Содержание!D15</f>
        <v>0</v>
      </c>
      <c r="C1" s="137" t="s">
        <v>522</v>
      </c>
      <c r="D1" s="205">
        <f>SUM(E8*F8+E9*F9+E10*F10+E11*F11+E15*F15+E16*F16+E17*F17+E18*F18+E22*F22+E23*F23+E24*F24+E25*F25+E29*F29+E30*F30+E31*F31+E32*F32+E36*F36+E37*F37+E41*F41+E42*F42+E47*F47+E48*F48+E49*F49+E50*F50+E55*F55+E56*F56+E57*F57+E58*F58+E62*F62+E63*F63+E68*F68+E69*F69+E70*F70+E71*F71+E75*F75+E76*F76+E77*F77+E78*F78+E82*F82+E83*F83+E84*F84+E88*F88+E89*F89+E90*F90+E91*F91+E67*F67+E54*F54+E46*F46)</f>
        <v>0</v>
      </c>
      <c r="E1" s="137" t="s">
        <v>458</v>
      </c>
      <c r="F1" s="204">
        <f>SUM(E8*G8+E9*G9+E10*G10+E11*G11+E15*G15+E16*G16+E17*G17+E18*G18+E22*G22+E23*G23+E24*G24+E25*G25+E29*G29+E30*G30+E31*G31+E32*G32+E36*G36+E37*G37+E41*G41+E42*G42+E47*G47+E48*G48+E49*G49+E50*G50+E55*G55+E56*G56+E57*G57+E58*G58+E62*G62+E63*G63+E68*G68+E69*G69+E70*G70+E71*G71+E75*G75+E76*G76+E77*G77+E78*G78+E82*G82+E83*G83+E84*G84+E46*G46+E54*G54+E67*G67+E88*G88+E89*G89+E90*G90+E91*G91)</f>
        <v>0</v>
      </c>
      <c r="G1" s="137" t="s">
        <v>456</v>
      </c>
      <c r="H1" s="203">
        <f>SUM(E8*H8+E9*H9+E10*H10+E11*H11+E15*H15+E16*H16+E17*H17+E18*H18+E22*H22+E23*H23+E24*H24+E25*H25+E29*H29+E30*H30+E31*H31+E32*H32+E36*H36+E37*H37+E41*H41+E42*H42+E47*H47+E48*H48+E49*H49+E50*H50+E55*H55+E56*H56+E57*H57+E58*H58+E62*H62+H63*E63+E68*H68+E69*H69+E70*H70+E71*H71+E75*H75+E76*H76+E77*H77+E78*H78+E82*H82+E83*H83+E84*H84+E46*H46+E54*H54+E67*H67+E88*G88+E89*G89+E90*G90+E91*G91)</f>
        <v>0</v>
      </c>
    </row>
    <row r="2" spans="1:8" ht="18" x14ac:dyDescent="0.35">
      <c r="A2" s="312" t="s">
        <v>561</v>
      </c>
      <c r="B2" s="312"/>
      <c r="C2" s="312"/>
      <c r="D2" s="312"/>
      <c r="E2" s="312"/>
      <c r="F2" s="312"/>
      <c r="G2" s="312"/>
      <c r="H2" s="312"/>
    </row>
    <row r="3" spans="1:8" x14ac:dyDescent="0.3">
      <c r="A3" s="335"/>
      <c r="B3" s="335"/>
      <c r="C3" s="335"/>
      <c r="D3" s="335"/>
      <c r="E3" s="335"/>
      <c r="F3" s="335"/>
      <c r="G3" s="335"/>
      <c r="H3" s="335"/>
    </row>
    <row r="4" spans="1:8" ht="18" x14ac:dyDescent="0.35">
      <c r="A4" s="312" t="s">
        <v>241</v>
      </c>
      <c r="B4" s="312"/>
      <c r="C4" s="312"/>
      <c r="D4" s="312"/>
      <c r="E4" s="312"/>
      <c r="F4" s="312"/>
      <c r="G4" s="312"/>
      <c r="H4" s="312"/>
    </row>
    <row r="5" spans="1:8" ht="18" x14ac:dyDescent="0.35">
      <c r="A5" s="312" t="s">
        <v>198</v>
      </c>
      <c r="B5" s="312"/>
      <c r="C5" s="312"/>
      <c r="D5" s="312"/>
      <c r="E5" s="312"/>
      <c r="F5" s="312"/>
      <c r="G5" s="312"/>
      <c r="H5" s="312"/>
    </row>
    <row r="6" spans="1:8" ht="78" customHeight="1" x14ac:dyDescent="0.3">
      <c r="A6" s="314" t="s">
        <v>404</v>
      </c>
      <c r="B6" s="314"/>
      <c r="C6" s="314"/>
      <c r="D6" s="314"/>
      <c r="E6" s="314"/>
      <c r="F6" s="314"/>
      <c r="G6" s="314"/>
    </row>
    <row r="7" spans="1:8" ht="15.6" x14ac:dyDescent="0.3">
      <c r="A7" s="20" t="s">
        <v>18</v>
      </c>
      <c r="B7" s="20" t="s">
        <v>19</v>
      </c>
      <c r="C7" s="20"/>
      <c r="D7" s="20" t="s">
        <v>506</v>
      </c>
      <c r="E7" s="20" t="s">
        <v>460</v>
      </c>
      <c r="F7" s="20" t="s">
        <v>504</v>
      </c>
      <c r="G7" s="20" t="s">
        <v>459</v>
      </c>
      <c r="H7" s="20" t="s">
        <v>457</v>
      </c>
    </row>
    <row r="8" spans="1:8" ht="15.6" x14ac:dyDescent="0.3">
      <c r="A8" s="84" t="s">
        <v>200</v>
      </c>
      <c r="B8" s="9" t="s">
        <v>199</v>
      </c>
      <c r="C8" s="9"/>
      <c r="D8" s="144">
        <v>1063</v>
      </c>
      <c r="E8" s="280"/>
      <c r="F8" s="192">
        <f>SUM(D8-(D8*B1))</f>
        <v>1063</v>
      </c>
      <c r="G8" s="96"/>
      <c r="H8" s="96"/>
    </row>
    <row r="9" spans="1:8" ht="15.6" x14ac:dyDescent="0.3">
      <c r="A9" s="85" t="s">
        <v>203</v>
      </c>
      <c r="B9" s="35" t="s">
        <v>204</v>
      </c>
      <c r="C9" s="86"/>
      <c r="D9" s="145">
        <v>1285</v>
      </c>
      <c r="E9" s="281"/>
      <c r="F9" s="193">
        <f>SUM(D9-(D9*B1))</f>
        <v>1285</v>
      </c>
      <c r="G9" s="133"/>
      <c r="H9" s="133"/>
    </row>
    <row r="10" spans="1:8" ht="15.6" x14ac:dyDescent="0.3">
      <c r="A10" s="84" t="s">
        <v>202</v>
      </c>
      <c r="B10" s="6" t="s">
        <v>205</v>
      </c>
      <c r="C10" s="89"/>
      <c r="D10" s="144">
        <v>1854</v>
      </c>
      <c r="E10" s="280"/>
      <c r="F10" s="192">
        <f>SUM(D10-(D10*B1))</f>
        <v>1854</v>
      </c>
      <c r="G10" s="96"/>
      <c r="H10" s="96"/>
    </row>
    <row r="11" spans="1:8" ht="16.2" thickBot="1" x14ac:dyDescent="0.35">
      <c r="A11" s="87" t="s">
        <v>201</v>
      </c>
      <c r="B11" s="36" t="s">
        <v>206</v>
      </c>
      <c r="C11" s="88"/>
      <c r="D11" s="184">
        <v>2242</v>
      </c>
      <c r="E11" s="282"/>
      <c r="F11" s="202">
        <f>SUM(D11-(D11*B1))</f>
        <v>2242</v>
      </c>
      <c r="G11" s="134"/>
      <c r="H11" s="135"/>
    </row>
    <row r="12" spans="1:8" ht="18" x14ac:dyDescent="0.35">
      <c r="A12" s="336" t="s">
        <v>207</v>
      </c>
      <c r="B12" s="336"/>
      <c r="C12" s="336"/>
      <c r="D12" s="336"/>
      <c r="E12" s="336"/>
      <c r="F12" s="336"/>
      <c r="G12" s="336"/>
      <c r="H12" s="336"/>
    </row>
    <row r="13" spans="1:8" ht="78" customHeight="1" x14ac:dyDescent="0.3">
      <c r="A13" s="314" t="s">
        <v>403</v>
      </c>
      <c r="B13" s="314"/>
      <c r="C13" s="314"/>
      <c r="D13" s="314"/>
      <c r="E13" s="314"/>
      <c r="F13" s="314"/>
      <c r="G13" s="314"/>
    </row>
    <row r="14" spans="1:8" ht="15.6" x14ac:dyDescent="0.3">
      <c r="A14" s="20" t="s">
        <v>18</v>
      </c>
      <c r="B14" s="20" t="s">
        <v>19</v>
      </c>
      <c r="C14" s="20"/>
      <c r="D14" s="20" t="s">
        <v>506</v>
      </c>
      <c r="E14" s="20" t="s">
        <v>460</v>
      </c>
      <c r="F14" s="20" t="s">
        <v>504</v>
      </c>
      <c r="G14" s="20" t="s">
        <v>459</v>
      </c>
      <c r="H14" s="20" t="s">
        <v>457</v>
      </c>
    </row>
    <row r="15" spans="1:8" ht="15.6" x14ac:dyDescent="0.3">
      <c r="A15" s="84" t="s">
        <v>208</v>
      </c>
      <c r="B15" s="9" t="s">
        <v>212</v>
      </c>
      <c r="C15" s="9"/>
      <c r="D15" s="144">
        <v>1063</v>
      </c>
      <c r="E15" s="280"/>
      <c r="F15" s="192">
        <f>SUM(D15-(D15*B1))</f>
        <v>1063</v>
      </c>
      <c r="G15" s="96"/>
      <c r="H15" s="96"/>
    </row>
    <row r="16" spans="1:8" ht="15.6" x14ac:dyDescent="0.3">
      <c r="A16" s="85" t="s">
        <v>209</v>
      </c>
      <c r="B16" s="35" t="s">
        <v>213</v>
      </c>
      <c r="C16" s="86"/>
      <c r="D16" s="145">
        <v>1285</v>
      </c>
      <c r="E16" s="281"/>
      <c r="F16" s="193">
        <f>SUM(D16-(D16*B1))</f>
        <v>1285</v>
      </c>
      <c r="G16" s="133"/>
      <c r="H16" s="133"/>
    </row>
    <row r="17" spans="1:8" ht="15.6" x14ac:dyDescent="0.3">
      <c r="A17" s="84" t="s">
        <v>210</v>
      </c>
      <c r="B17" s="6" t="s">
        <v>214</v>
      </c>
      <c r="C17" s="89"/>
      <c r="D17" s="144">
        <v>1854</v>
      </c>
      <c r="E17" s="280"/>
      <c r="F17" s="192">
        <f>SUM(D17-(D17*B1))</f>
        <v>1854</v>
      </c>
      <c r="G17" s="96"/>
      <c r="H17" s="96"/>
    </row>
    <row r="18" spans="1:8" ht="16.2" thickBot="1" x14ac:dyDescent="0.35">
      <c r="A18" s="87" t="s">
        <v>211</v>
      </c>
      <c r="B18" s="36" t="s">
        <v>215</v>
      </c>
      <c r="C18" s="88"/>
      <c r="D18" s="184">
        <v>2242</v>
      </c>
      <c r="E18" s="282"/>
      <c r="F18" s="202">
        <f>SUM(D18-(D18*B1))</f>
        <v>2242</v>
      </c>
      <c r="G18" s="134"/>
      <c r="H18" s="135"/>
    </row>
    <row r="19" spans="1:8" ht="18" x14ac:dyDescent="0.35">
      <c r="A19" s="334" t="s">
        <v>216</v>
      </c>
      <c r="B19" s="334"/>
      <c r="C19" s="334"/>
      <c r="D19" s="334"/>
      <c r="E19" s="334"/>
      <c r="F19" s="334"/>
      <c r="G19" s="334"/>
      <c r="H19" s="334"/>
    </row>
    <row r="20" spans="1:8" ht="78" customHeight="1" x14ac:dyDescent="0.3">
      <c r="A20" s="314" t="s">
        <v>400</v>
      </c>
      <c r="B20" s="314"/>
      <c r="C20" s="314"/>
      <c r="D20" s="314"/>
      <c r="E20" s="314"/>
      <c r="F20" s="314"/>
      <c r="G20" s="314"/>
    </row>
    <row r="21" spans="1:8" ht="15.6" x14ac:dyDescent="0.3">
      <c r="A21" s="20" t="s">
        <v>18</v>
      </c>
      <c r="B21" s="20" t="s">
        <v>19</v>
      </c>
      <c r="C21" s="20"/>
      <c r="D21" s="20" t="s">
        <v>506</v>
      </c>
      <c r="E21" s="20" t="s">
        <v>460</v>
      </c>
      <c r="F21" s="20" t="s">
        <v>504</v>
      </c>
      <c r="G21" s="20" t="s">
        <v>459</v>
      </c>
      <c r="H21" s="20" t="s">
        <v>457</v>
      </c>
    </row>
    <row r="22" spans="1:8" ht="15.6" x14ac:dyDescent="0.3">
      <c r="A22" s="84" t="s">
        <v>217</v>
      </c>
      <c r="B22" s="9" t="s">
        <v>221</v>
      </c>
      <c r="C22" s="9"/>
      <c r="D22" s="144">
        <v>1137.4100000000001</v>
      </c>
      <c r="E22" s="280"/>
      <c r="F22" s="192">
        <f>SUM(D22-(D22*B1))</f>
        <v>1137.4100000000001</v>
      </c>
      <c r="G22" s="96"/>
      <c r="H22" s="96"/>
    </row>
    <row r="23" spans="1:8" ht="15.6" x14ac:dyDescent="0.3">
      <c r="A23" s="85" t="s">
        <v>218</v>
      </c>
      <c r="B23" s="35" t="s">
        <v>222</v>
      </c>
      <c r="C23" s="86"/>
      <c r="D23" s="145">
        <v>1374.95</v>
      </c>
      <c r="E23" s="281"/>
      <c r="F23" s="193">
        <f>SUM(D23-(D23*B1))</f>
        <v>1374.95</v>
      </c>
      <c r="G23" s="133"/>
      <c r="H23" s="133"/>
    </row>
    <row r="24" spans="1:8" ht="15.6" x14ac:dyDescent="0.3">
      <c r="A24" s="84" t="s">
        <v>219</v>
      </c>
      <c r="B24" s="6" t="s">
        <v>223</v>
      </c>
      <c r="C24" s="89"/>
      <c r="D24" s="144">
        <v>1983.7800000000002</v>
      </c>
      <c r="E24" s="283"/>
      <c r="F24" s="192">
        <f>SUM(D24-(D24*B1))</f>
        <v>1983.7800000000002</v>
      </c>
      <c r="G24" s="96"/>
      <c r="H24" s="96"/>
    </row>
    <row r="25" spans="1:8" ht="16.2" thickBot="1" x14ac:dyDescent="0.35">
      <c r="A25" s="87" t="s">
        <v>220</v>
      </c>
      <c r="B25" s="36" t="s">
        <v>224</v>
      </c>
      <c r="C25" s="88"/>
      <c r="D25" s="184">
        <v>2398.94</v>
      </c>
      <c r="E25" s="282"/>
      <c r="F25" s="202">
        <f>SUM(D25-(D25*B1))</f>
        <v>2398.94</v>
      </c>
      <c r="G25" s="134"/>
      <c r="H25" s="135"/>
    </row>
    <row r="26" spans="1:8" ht="18" x14ac:dyDescent="0.35">
      <c r="A26" s="334" t="s">
        <v>225</v>
      </c>
      <c r="B26" s="334"/>
      <c r="C26" s="334"/>
      <c r="D26" s="334"/>
      <c r="E26" s="334"/>
      <c r="F26" s="334"/>
      <c r="G26" s="334"/>
      <c r="H26" s="334"/>
    </row>
    <row r="27" spans="1:8" ht="78" customHeight="1" x14ac:dyDescent="0.3">
      <c r="A27" s="314" t="s">
        <v>402</v>
      </c>
      <c r="B27" s="314"/>
      <c r="C27" s="314"/>
      <c r="D27" s="314"/>
      <c r="E27" s="314"/>
      <c r="F27" s="314"/>
      <c r="G27" s="314"/>
    </row>
    <row r="28" spans="1:8" ht="15.6" x14ac:dyDescent="0.3">
      <c r="A28" s="20" t="s">
        <v>18</v>
      </c>
      <c r="B28" s="20" t="s">
        <v>19</v>
      </c>
      <c r="C28" s="20"/>
      <c r="D28" s="20" t="s">
        <v>506</v>
      </c>
      <c r="E28" s="20" t="s">
        <v>460</v>
      </c>
      <c r="F28" s="20" t="s">
        <v>504</v>
      </c>
      <c r="G28" s="20" t="s">
        <v>459</v>
      </c>
      <c r="H28" s="20" t="s">
        <v>457</v>
      </c>
    </row>
    <row r="29" spans="1:8" ht="15.6" x14ac:dyDescent="0.3">
      <c r="A29" s="84" t="s">
        <v>226</v>
      </c>
      <c r="B29" s="9" t="s">
        <v>230</v>
      </c>
      <c r="C29" s="9"/>
      <c r="D29" s="144">
        <v>1137.4100000000001</v>
      </c>
      <c r="E29" s="283"/>
      <c r="F29" s="192">
        <f>SUM(D29-(D29*B1))</f>
        <v>1137.4100000000001</v>
      </c>
      <c r="G29" s="96"/>
      <c r="H29" s="96"/>
    </row>
    <row r="30" spans="1:8" ht="15.6" x14ac:dyDescent="0.3">
      <c r="A30" s="85" t="s">
        <v>227</v>
      </c>
      <c r="B30" s="35" t="s">
        <v>231</v>
      </c>
      <c r="C30" s="86"/>
      <c r="D30" s="145">
        <v>1374.95</v>
      </c>
      <c r="E30" s="281"/>
      <c r="F30" s="193">
        <f>SUM(D30-(D30*B1))</f>
        <v>1374.95</v>
      </c>
      <c r="G30" s="133"/>
      <c r="H30" s="133"/>
    </row>
    <row r="31" spans="1:8" ht="15.6" x14ac:dyDescent="0.3">
      <c r="A31" s="84" t="s">
        <v>228</v>
      </c>
      <c r="B31" s="6" t="s">
        <v>232</v>
      </c>
      <c r="C31" s="89"/>
      <c r="D31" s="144">
        <v>1983.7800000000002</v>
      </c>
      <c r="E31" s="283"/>
      <c r="F31" s="192">
        <f>SUM(D31-(D31*B1))</f>
        <v>1983.7800000000002</v>
      </c>
      <c r="G31" s="96"/>
      <c r="H31" s="96"/>
    </row>
    <row r="32" spans="1:8" ht="16.2" thickBot="1" x14ac:dyDescent="0.35">
      <c r="A32" s="87" t="s">
        <v>229</v>
      </c>
      <c r="B32" s="36" t="s">
        <v>233</v>
      </c>
      <c r="C32" s="88"/>
      <c r="D32" s="184">
        <v>2398.94</v>
      </c>
      <c r="E32" s="282"/>
      <c r="F32" s="202">
        <f>SUM(D32-(D32*B1))</f>
        <v>2398.94</v>
      </c>
      <c r="G32" s="134"/>
      <c r="H32" s="135"/>
    </row>
    <row r="33" spans="1:8" ht="15.75" customHeight="1" x14ac:dyDescent="0.35">
      <c r="A33" s="334" t="s">
        <v>395</v>
      </c>
      <c r="B33" s="334"/>
      <c r="C33" s="334"/>
      <c r="D33" s="334"/>
      <c r="E33" s="334"/>
      <c r="F33" s="334"/>
      <c r="G33" s="334"/>
      <c r="H33" s="334"/>
    </row>
    <row r="34" spans="1:8" ht="78" customHeight="1" x14ac:dyDescent="0.3">
      <c r="A34" s="314" t="s">
        <v>427</v>
      </c>
      <c r="B34" s="314"/>
      <c r="C34" s="314"/>
      <c r="D34" s="314"/>
      <c r="E34" s="314"/>
      <c r="F34" s="314"/>
      <c r="G34" s="314"/>
    </row>
    <row r="35" spans="1:8" ht="15.6" x14ac:dyDescent="0.3">
      <c r="A35" s="20" t="s">
        <v>18</v>
      </c>
      <c r="B35" s="20" t="s">
        <v>19</v>
      </c>
      <c r="C35" s="20"/>
      <c r="D35" s="20" t="s">
        <v>506</v>
      </c>
      <c r="E35" s="20" t="s">
        <v>460</v>
      </c>
      <c r="F35" s="20" t="s">
        <v>504</v>
      </c>
      <c r="G35" s="20" t="s">
        <v>459</v>
      </c>
      <c r="H35" s="20" t="s">
        <v>457</v>
      </c>
    </row>
    <row r="36" spans="1:8" ht="15.6" x14ac:dyDescent="0.3">
      <c r="A36" s="84" t="s">
        <v>396</v>
      </c>
      <c r="B36" s="9" t="s">
        <v>398</v>
      </c>
      <c r="C36" s="9"/>
      <c r="D36" s="144">
        <v>1976</v>
      </c>
      <c r="E36" s="283"/>
      <c r="F36" s="192">
        <f>SUM(D36-(D36*B1))</f>
        <v>1976</v>
      </c>
      <c r="G36" s="96"/>
      <c r="H36" s="96"/>
    </row>
    <row r="37" spans="1:8" ht="16.2" thickBot="1" x14ac:dyDescent="0.35">
      <c r="A37" s="92" t="s">
        <v>397</v>
      </c>
      <c r="B37" s="36" t="s">
        <v>399</v>
      </c>
      <c r="C37" s="88"/>
      <c r="D37" s="145">
        <v>2322</v>
      </c>
      <c r="E37" s="282"/>
      <c r="F37" s="202">
        <f>SUM(D37-(D37*B1))</f>
        <v>2322</v>
      </c>
      <c r="G37" s="134"/>
      <c r="H37" s="135"/>
    </row>
    <row r="38" spans="1:8" ht="18" x14ac:dyDescent="0.35">
      <c r="A38" s="334" t="s">
        <v>394</v>
      </c>
      <c r="B38" s="334"/>
      <c r="C38" s="334"/>
      <c r="D38" s="334"/>
      <c r="E38" s="334"/>
      <c r="F38" s="334"/>
      <c r="G38" s="334"/>
      <c r="H38" s="334"/>
    </row>
    <row r="39" spans="1:8" ht="78" customHeight="1" x14ac:dyDescent="0.3">
      <c r="A39" s="314" t="s">
        <v>428</v>
      </c>
      <c r="B39" s="314"/>
      <c r="C39" s="314"/>
      <c r="D39" s="314"/>
      <c r="E39" s="314"/>
      <c r="F39" s="314"/>
      <c r="G39" s="314"/>
    </row>
    <row r="40" spans="1:8" ht="15.6" x14ac:dyDescent="0.3">
      <c r="A40" s="20" t="s">
        <v>18</v>
      </c>
      <c r="B40" s="20" t="s">
        <v>19</v>
      </c>
      <c r="C40" s="20"/>
      <c r="D40" s="20" t="s">
        <v>506</v>
      </c>
      <c r="E40" s="20" t="s">
        <v>460</v>
      </c>
      <c r="F40" s="20" t="s">
        <v>504</v>
      </c>
      <c r="G40" s="20" t="s">
        <v>459</v>
      </c>
      <c r="H40" s="20" t="s">
        <v>457</v>
      </c>
    </row>
    <row r="41" spans="1:8" ht="15.6" x14ac:dyDescent="0.3">
      <c r="A41" s="84" t="s">
        <v>405</v>
      </c>
      <c r="B41" s="9" t="s">
        <v>407</v>
      </c>
      <c r="C41" s="9"/>
      <c r="D41" s="144">
        <v>2299</v>
      </c>
      <c r="E41" s="283"/>
      <c r="F41" s="192">
        <f>SUM(D41-(D41*B1))</f>
        <v>2299</v>
      </c>
      <c r="G41" s="96"/>
      <c r="H41" s="96"/>
    </row>
    <row r="42" spans="1:8" ht="16.2" thickBot="1" x14ac:dyDescent="0.35">
      <c r="A42" s="92" t="s">
        <v>406</v>
      </c>
      <c r="B42" s="36" t="s">
        <v>408</v>
      </c>
      <c r="C42" s="88"/>
      <c r="D42" s="145">
        <v>2946</v>
      </c>
      <c r="E42" s="282"/>
      <c r="F42" s="202">
        <f>SUM(D42-(D42*B1))</f>
        <v>2946</v>
      </c>
      <c r="G42" s="134"/>
      <c r="H42" s="135"/>
    </row>
    <row r="43" spans="1:8" ht="18" x14ac:dyDescent="0.35">
      <c r="A43" s="334" t="s">
        <v>417</v>
      </c>
      <c r="B43" s="334"/>
      <c r="C43" s="334"/>
      <c r="D43" s="334"/>
      <c r="E43" s="334"/>
      <c r="F43" s="334"/>
      <c r="G43" s="334"/>
      <c r="H43" s="334"/>
    </row>
    <row r="44" spans="1:8" ht="78" customHeight="1" x14ac:dyDescent="0.3">
      <c r="A44" s="314" t="s">
        <v>427</v>
      </c>
      <c r="B44" s="314"/>
      <c r="C44" s="314"/>
      <c r="D44" s="314"/>
      <c r="E44" s="314"/>
      <c r="F44" s="314"/>
      <c r="G44" s="314"/>
    </row>
    <row r="45" spans="1:8" ht="15.6" x14ac:dyDescent="0.3">
      <c r="A45" s="20" t="s">
        <v>18</v>
      </c>
      <c r="B45" s="20" t="s">
        <v>19</v>
      </c>
      <c r="C45" s="20"/>
      <c r="D45" s="20" t="s">
        <v>506</v>
      </c>
      <c r="E45" s="20" t="s">
        <v>460</v>
      </c>
      <c r="F45" s="20" t="s">
        <v>504</v>
      </c>
      <c r="G45" s="20" t="s">
        <v>459</v>
      </c>
      <c r="H45" s="20" t="s">
        <v>457</v>
      </c>
    </row>
    <row r="46" spans="1:8" ht="15.6" x14ac:dyDescent="0.3">
      <c r="A46" s="84" t="s">
        <v>493</v>
      </c>
      <c r="B46" s="84" t="s">
        <v>489</v>
      </c>
      <c r="C46" s="84"/>
      <c r="D46" s="144">
        <v>1034.1818181818182</v>
      </c>
      <c r="E46" s="280"/>
      <c r="F46" s="192">
        <f>D46-(D46*B1)</f>
        <v>1034.1818181818182</v>
      </c>
      <c r="G46" s="28"/>
      <c r="H46" s="28"/>
    </row>
    <row r="47" spans="1:8" ht="15.6" x14ac:dyDescent="0.3">
      <c r="A47" s="85" t="s">
        <v>419</v>
      </c>
      <c r="B47" s="21" t="s">
        <v>423</v>
      </c>
      <c r="C47" s="21"/>
      <c r="D47" s="145">
        <v>1264</v>
      </c>
      <c r="E47" s="281"/>
      <c r="F47" s="193">
        <f>SUM(D47-(D47*B1))</f>
        <v>1264</v>
      </c>
      <c r="G47" s="133"/>
      <c r="H47" s="133"/>
    </row>
    <row r="48" spans="1:8" ht="15.6" x14ac:dyDescent="0.3">
      <c r="A48" s="84" t="s">
        <v>420</v>
      </c>
      <c r="B48" s="6" t="s">
        <v>424</v>
      </c>
      <c r="C48" s="89"/>
      <c r="D48" s="144">
        <v>1645</v>
      </c>
      <c r="E48" s="280"/>
      <c r="F48" s="192">
        <f>SUM(D48-(D48*B1))</f>
        <v>1645</v>
      </c>
      <c r="G48" s="96"/>
      <c r="H48" s="96"/>
    </row>
    <row r="49" spans="1:8" ht="15.6" x14ac:dyDescent="0.3">
      <c r="A49" s="85" t="s">
        <v>421</v>
      </c>
      <c r="B49" s="35" t="s">
        <v>425</v>
      </c>
      <c r="C49" s="86"/>
      <c r="D49" s="145">
        <v>2214</v>
      </c>
      <c r="E49" s="281"/>
      <c r="F49" s="193">
        <f>SUM(D49-(D49*B1))</f>
        <v>2214</v>
      </c>
      <c r="G49" s="133"/>
      <c r="H49" s="133"/>
    </row>
    <row r="50" spans="1:8" ht="16.2" thickBot="1" x14ac:dyDescent="0.35">
      <c r="A50" s="22" t="s">
        <v>422</v>
      </c>
      <c r="B50" s="26" t="s">
        <v>426</v>
      </c>
      <c r="C50" s="91"/>
      <c r="D50" s="144">
        <v>2891</v>
      </c>
      <c r="E50" s="264"/>
      <c r="F50" s="194">
        <f>SUM(D50-(D50*B1))</f>
        <v>2891</v>
      </c>
      <c r="G50" s="70"/>
      <c r="H50" s="99"/>
    </row>
    <row r="51" spans="1:8" ht="18" x14ac:dyDescent="0.35">
      <c r="A51" s="334" t="s">
        <v>418</v>
      </c>
      <c r="B51" s="334"/>
      <c r="C51" s="334"/>
      <c r="D51" s="334"/>
      <c r="E51" s="334"/>
      <c r="F51" s="334"/>
      <c r="G51" s="334"/>
      <c r="H51" s="334"/>
    </row>
    <row r="52" spans="1:8" ht="78" customHeight="1" x14ac:dyDescent="0.3">
      <c r="A52" s="314" t="s">
        <v>428</v>
      </c>
      <c r="B52" s="314"/>
      <c r="C52" s="314"/>
      <c r="D52" s="314"/>
      <c r="E52" s="314"/>
      <c r="F52" s="314"/>
      <c r="G52" s="314"/>
    </row>
    <row r="53" spans="1:8" ht="15.6" x14ac:dyDescent="0.3">
      <c r="A53" s="20" t="s">
        <v>18</v>
      </c>
      <c r="B53" s="20" t="s">
        <v>19</v>
      </c>
      <c r="C53" s="20"/>
      <c r="D53" s="20" t="s">
        <v>506</v>
      </c>
      <c r="E53" s="20" t="s">
        <v>460</v>
      </c>
      <c r="F53" s="20" t="s">
        <v>504</v>
      </c>
      <c r="G53" s="20" t="s">
        <v>459</v>
      </c>
      <c r="H53" s="20" t="s">
        <v>457</v>
      </c>
    </row>
    <row r="54" spans="1:8" ht="15.6" x14ac:dyDescent="0.3">
      <c r="A54" s="84" t="s">
        <v>492</v>
      </c>
      <c r="B54" s="84" t="s">
        <v>488</v>
      </c>
      <c r="C54" s="84"/>
      <c r="D54" s="144">
        <v>1411.5</v>
      </c>
      <c r="E54" s="280"/>
      <c r="F54" s="192">
        <f>D54-(D54*B1)</f>
        <v>1411.5</v>
      </c>
      <c r="G54" s="28"/>
      <c r="H54" s="28"/>
    </row>
    <row r="55" spans="1:8" ht="15.6" x14ac:dyDescent="0.3">
      <c r="A55" s="85" t="s">
        <v>409</v>
      </c>
      <c r="B55" s="21" t="s">
        <v>410</v>
      </c>
      <c r="C55" s="21"/>
      <c r="D55" s="145">
        <v>1667</v>
      </c>
      <c r="E55" s="281"/>
      <c r="F55" s="193">
        <f>SUM(D55-(D55*B1))</f>
        <v>1667</v>
      </c>
      <c r="G55" s="133"/>
      <c r="H55" s="133"/>
    </row>
    <row r="56" spans="1:8" ht="15.6" x14ac:dyDescent="0.3">
      <c r="A56" s="84" t="s">
        <v>411</v>
      </c>
      <c r="B56" s="6" t="s">
        <v>412</v>
      </c>
      <c r="C56" s="89"/>
      <c r="D56" s="144">
        <v>2045</v>
      </c>
      <c r="E56" s="280"/>
      <c r="F56" s="192">
        <f>SUM(D56-(D56*B1))</f>
        <v>2045</v>
      </c>
      <c r="G56" s="96"/>
      <c r="H56" s="96"/>
    </row>
    <row r="57" spans="1:8" ht="15.6" x14ac:dyDescent="0.3">
      <c r="A57" s="85" t="s">
        <v>413</v>
      </c>
      <c r="B57" s="35" t="s">
        <v>415</v>
      </c>
      <c r="C57" s="86"/>
      <c r="D57" s="145">
        <v>2823</v>
      </c>
      <c r="E57" s="281"/>
      <c r="F57" s="193">
        <f>SUM(D57-(D57*B1))</f>
        <v>2823</v>
      </c>
      <c r="G57" s="133"/>
      <c r="H57" s="133"/>
    </row>
    <row r="58" spans="1:8" ht="16.2" thickBot="1" x14ac:dyDescent="0.35">
      <c r="A58" s="22" t="s">
        <v>414</v>
      </c>
      <c r="B58" s="26" t="s">
        <v>416</v>
      </c>
      <c r="C58" s="91"/>
      <c r="D58" s="144">
        <v>3097</v>
      </c>
      <c r="E58" s="264"/>
      <c r="F58" s="194">
        <f>SUM(D58-(D58*B1))</f>
        <v>3097</v>
      </c>
      <c r="G58" s="70"/>
      <c r="H58" s="99"/>
    </row>
    <row r="59" spans="1:8" ht="18" x14ac:dyDescent="0.35">
      <c r="A59" s="334" t="s">
        <v>434</v>
      </c>
      <c r="B59" s="334"/>
      <c r="C59" s="334"/>
      <c r="D59" s="334"/>
      <c r="E59" s="334"/>
      <c r="F59" s="334"/>
      <c r="G59" s="334"/>
      <c r="H59" s="334"/>
    </row>
    <row r="60" spans="1:8" ht="78" customHeight="1" x14ac:dyDescent="0.3">
      <c r="A60" s="314" t="s">
        <v>433</v>
      </c>
      <c r="B60" s="314"/>
      <c r="C60" s="314"/>
      <c r="D60" s="314"/>
      <c r="E60" s="314"/>
      <c r="F60" s="314"/>
      <c r="G60" s="314"/>
    </row>
    <row r="61" spans="1:8" ht="15.75" customHeight="1" x14ac:dyDescent="0.3">
      <c r="A61" s="20" t="s">
        <v>18</v>
      </c>
      <c r="B61" s="20" t="s">
        <v>19</v>
      </c>
      <c r="C61" s="20"/>
      <c r="D61" s="20" t="s">
        <v>506</v>
      </c>
      <c r="E61" s="20" t="s">
        <v>460</v>
      </c>
      <c r="F61" s="20" t="s">
        <v>504</v>
      </c>
      <c r="G61" s="20" t="s">
        <v>459</v>
      </c>
      <c r="H61" s="20" t="s">
        <v>457</v>
      </c>
    </row>
    <row r="62" spans="1:8" ht="14.25" customHeight="1" x14ac:dyDescent="0.3">
      <c r="A62" s="84" t="s">
        <v>429</v>
      </c>
      <c r="B62" s="9" t="s">
        <v>431</v>
      </c>
      <c r="C62" s="9"/>
      <c r="D62" s="144">
        <v>5145</v>
      </c>
      <c r="E62" s="280"/>
      <c r="F62" s="192">
        <f>SUM(D62-(D62*B1))</f>
        <v>5145</v>
      </c>
      <c r="G62" s="96"/>
      <c r="H62" s="96"/>
    </row>
    <row r="63" spans="1:8" ht="16.5" customHeight="1" thickBot="1" x14ac:dyDescent="0.35">
      <c r="A63" s="92" t="s">
        <v>430</v>
      </c>
      <c r="B63" s="36" t="s">
        <v>432</v>
      </c>
      <c r="C63" s="88"/>
      <c r="D63" s="145">
        <v>6505</v>
      </c>
      <c r="E63" s="282"/>
      <c r="F63" s="202">
        <f>SUM(D63-(D63*B1))</f>
        <v>6505</v>
      </c>
      <c r="G63" s="134"/>
      <c r="H63" s="135"/>
    </row>
    <row r="64" spans="1:8" ht="16.5" customHeight="1" x14ac:dyDescent="0.35">
      <c r="A64" s="333" t="s">
        <v>444</v>
      </c>
      <c r="B64" s="333"/>
      <c r="C64" s="333"/>
      <c r="D64" s="333"/>
      <c r="E64" s="333"/>
      <c r="F64" s="333"/>
      <c r="G64" s="333"/>
      <c r="H64" s="333"/>
    </row>
    <row r="65" spans="1:8" ht="78" customHeight="1" x14ac:dyDescent="0.3">
      <c r="A65" s="314" t="s">
        <v>443</v>
      </c>
      <c r="B65" s="314"/>
      <c r="C65" s="314"/>
      <c r="D65" s="314"/>
      <c r="E65" s="314"/>
      <c r="F65" s="314"/>
      <c r="G65" s="314"/>
    </row>
    <row r="66" spans="1:8" ht="16.5" customHeight="1" x14ac:dyDescent="0.3">
      <c r="A66" s="20" t="s">
        <v>18</v>
      </c>
      <c r="B66" s="20" t="s">
        <v>19</v>
      </c>
      <c r="C66" s="20"/>
      <c r="D66" s="20" t="s">
        <v>506</v>
      </c>
      <c r="E66" s="20" t="s">
        <v>460</v>
      </c>
      <c r="F66" s="20" t="s">
        <v>504</v>
      </c>
      <c r="G66" s="20" t="s">
        <v>459</v>
      </c>
      <c r="H66" s="20" t="s">
        <v>457</v>
      </c>
    </row>
    <row r="67" spans="1:8" ht="16.5" customHeight="1" x14ac:dyDescent="0.3">
      <c r="A67" s="84" t="s">
        <v>531</v>
      </c>
      <c r="B67" s="84" t="s">
        <v>532</v>
      </c>
      <c r="C67" s="84"/>
      <c r="D67" s="144">
        <v>362.65060240963851</v>
      </c>
      <c r="E67" s="280"/>
      <c r="F67" s="144">
        <f>SUM(D67-(D67*B1))</f>
        <v>362.65060240963851</v>
      </c>
      <c r="G67" s="28"/>
      <c r="H67" s="28"/>
    </row>
    <row r="68" spans="1:8" ht="16.5" customHeight="1" x14ac:dyDescent="0.3">
      <c r="A68" s="85" t="s">
        <v>435</v>
      </c>
      <c r="B68" s="21" t="s">
        <v>439</v>
      </c>
      <c r="C68" s="21"/>
      <c r="D68" s="145">
        <v>323</v>
      </c>
      <c r="E68" s="281"/>
      <c r="F68" s="193">
        <f>SUM(D68-(D68*B1))</f>
        <v>323</v>
      </c>
      <c r="G68" s="133"/>
      <c r="H68" s="133"/>
    </row>
    <row r="69" spans="1:8" ht="16.5" customHeight="1" x14ac:dyDescent="0.3">
      <c r="A69" s="84" t="s">
        <v>436</v>
      </c>
      <c r="B69" s="6" t="s">
        <v>440</v>
      </c>
      <c r="C69" s="89"/>
      <c r="D69" s="144">
        <v>420</v>
      </c>
      <c r="E69" s="280"/>
      <c r="F69" s="192">
        <f>SUM(D69-(D69*B1))</f>
        <v>420</v>
      </c>
      <c r="G69" s="96"/>
      <c r="H69" s="96"/>
    </row>
    <row r="70" spans="1:8" ht="16.5" customHeight="1" x14ac:dyDescent="0.3">
      <c r="A70" s="85" t="s">
        <v>437</v>
      </c>
      <c r="B70" s="35" t="s">
        <v>441</v>
      </c>
      <c r="C70" s="86"/>
      <c r="D70" s="145">
        <v>547</v>
      </c>
      <c r="E70" s="281"/>
      <c r="F70" s="193">
        <f>SUM(D70-(D70*B1))</f>
        <v>547</v>
      </c>
      <c r="G70" s="133"/>
      <c r="H70" s="133"/>
    </row>
    <row r="71" spans="1:8" ht="16.2" thickBot="1" x14ac:dyDescent="0.35">
      <c r="A71" s="22" t="s">
        <v>438</v>
      </c>
      <c r="B71" s="26" t="s">
        <v>442</v>
      </c>
      <c r="C71" s="91"/>
      <c r="D71" s="144">
        <v>744</v>
      </c>
      <c r="E71" s="264"/>
      <c r="F71" s="194">
        <f>SUM(D71-(D71*B1))</f>
        <v>744</v>
      </c>
      <c r="G71" s="70"/>
      <c r="H71" s="99"/>
    </row>
    <row r="72" spans="1:8" ht="18" x14ac:dyDescent="0.35">
      <c r="A72" s="334" t="s">
        <v>453</v>
      </c>
      <c r="B72" s="334"/>
      <c r="C72" s="334"/>
      <c r="D72" s="334"/>
      <c r="E72" s="334"/>
      <c r="F72" s="334"/>
      <c r="G72" s="334"/>
      <c r="H72" s="334"/>
    </row>
    <row r="73" spans="1:8" ht="78" customHeight="1" x14ac:dyDescent="0.3">
      <c r="A73" s="314" t="s">
        <v>449</v>
      </c>
      <c r="B73" s="314"/>
      <c r="C73" s="314"/>
      <c r="D73" s="314"/>
      <c r="E73" s="314"/>
      <c r="F73" s="314"/>
      <c r="G73" s="314"/>
    </row>
    <row r="74" spans="1:8" ht="15.6" x14ac:dyDescent="0.3">
      <c r="A74" s="20" t="s">
        <v>18</v>
      </c>
      <c r="B74" s="20" t="s">
        <v>19</v>
      </c>
      <c r="C74" s="20"/>
      <c r="D74" s="20" t="s">
        <v>506</v>
      </c>
      <c r="E74" s="20" t="s">
        <v>460</v>
      </c>
      <c r="F74" s="20" t="s">
        <v>504</v>
      </c>
      <c r="G74" s="20" t="s">
        <v>459</v>
      </c>
      <c r="H74" s="20" t="s">
        <v>457</v>
      </c>
    </row>
    <row r="75" spans="1:8" ht="15.6" x14ac:dyDescent="0.3">
      <c r="A75" s="84" t="s">
        <v>446</v>
      </c>
      <c r="B75" s="84" t="s">
        <v>468</v>
      </c>
      <c r="C75" s="9"/>
      <c r="D75" s="144">
        <v>3234</v>
      </c>
      <c r="E75" s="284"/>
      <c r="F75" s="192">
        <f>SUM(D75-(D75*B1))</f>
        <v>3234</v>
      </c>
    </row>
    <row r="76" spans="1:8" ht="15.6" x14ac:dyDescent="0.3">
      <c r="A76" s="85" t="s">
        <v>445</v>
      </c>
      <c r="B76" s="85" t="s">
        <v>450</v>
      </c>
      <c r="C76" s="86"/>
      <c r="D76" s="145">
        <v>4332</v>
      </c>
      <c r="E76" s="281"/>
      <c r="F76" s="193">
        <f>SUM(D76-(D76*B1))</f>
        <v>4332</v>
      </c>
      <c r="G76" s="133"/>
      <c r="H76" s="133"/>
    </row>
    <row r="77" spans="1:8" ht="15.6" x14ac:dyDescent="0.3">
      <c r="A77" s="84" t="s">
        <v>447</v>
      </c>
      <c r="B77" s="84" t="s">
        <v>451</v>
      </c>
      <c r="C77" s="89"/>
      <c r="D77" s="144">
        <v>6775</v>
      </c>
      <c r="E77" s="283"/>
      <c r="F77" s="192">
        <f>SUM(D77-(D77*B1))</f>
        <v>6775</v>
      </c>
    </row>
    <row r="78" spans="1:8" ht="16.2" thickBot="1" x14ac:dyDescent="0.35">
      <c r="A78" s="92" t="s">
        <v>448</v>
      </c>
      <c r="B78" s="92" t="s">
        <v>452</v>
      </c>
      <c r="C78" s="92"/>
      <c r="D78" s="184">
        <v>11720</v>
      </c>
      <c r="E78" s="282"/>
      <c r="F78" s="202">
        <f>SUM(D78-(D78*B1))</f>
        <v>11720</v>
      </c>
      <c r="G78" s="134"/>
      <c r="H78" s="135"/>
    </row>
    <row r="79" spans="1:8" ht="18" x14ac:dyDescent="0.35">
      <c r="A79" s="334" t="s">
        <v>454</v>
      </c>
      <c r="B79" s="334"/>
      <c r="C79" s="334"/>
      <c r="D79" s="334"/>
      <c r="E79" s="334"/>
      <c r="F79" s="334"/>
      <c r="G79" s="334"/>
      <c r="H79" s="334"/>
    </row>
    <row r="80" spans="1:8" ht="78" customHeight="1" x14ac:dyDescent="0.3">
      <c r="A80" s="314" t="s">
        <v>401</v>
      </c>
      <c r="B80" s="314"/>
      <c r="C80" s="314"/>
      <c r="D80" s="314"/>
      <c r="E80" s="314"/>
      <c r="F80" s="314"/>
      <c r="G80" s="314"/>
    </row>
    <row r="81" spans="1:8" ht="15.6" x14ac:dyDescent="0.3">
      <c r="A81" s="20" t="s">
        <v>18</v>
      </c>
      <c r="B81" s="20" t="s">
        <v>19</v>
      </c>
      <c r="C81" s="20"/>
      <c r="D81" s="20" t="s">
        <v>506</v>
      </c>
      <c r="E81" s="20" t="s">
        <v>460</v>
      </c>
      <c r="F81" s="20" t="s">
        <v>504</v>
      </c>
      <c r="G81" s="20" t="s">
        <v>459</v>
      </c>
      <c r="H81" s="20" t="s">
        <v>457</v>
      </c>
    </row>
    <row r="82" spans="1:8" ht="15.6" x14ac:dyDescent="0.3">
      <c r="A82" s="84" t="s">
        <v>239</v>
      </c>
      <c r="B82" s="9" t="s">
        <v>234</v>
      </c>
      <c r="C82" s="9"/>
      <c r="D82" s="144">
        <v>639.1</v>
      </c>
      <c r="E82" s="280"/>
      <c r="F82" s="192">
        <f>SUM(D82-(D82*B1))</f>
        <v>639.1</v>
      </c>
      <c r="G82" s="96"/>
      <c r="H82" s="96"/>
    </row>
    <row r="83" spans="1:8" ht="15.6" x14ac:dyDescent="0.3">
      <c r="A83" s="85" t="s">
        <v>238</v>
      </c>
      <c r="B83" s="35" t="s">
        <v>235</v>
      </c>
      <c r="C83" s="86"/>
      <c r="D83" s="145">
        <v>830</v>
      </c>
      <c r="E83" s="281"/>
      <c r="F83" s="193">
        <f>SUM(D83-(D83*B1))</f>
        <v>830</v>
      </c>
      <c r="G83" s="133"/>
      <c r="H83" s="133"/>
    </row>
    <row r="84" spans="1:8" ht="16.2" thickBot="1" x14ac:dyDescent="0.35">
      <c r="A84" s="90" t="s">
        <v>237</v>
      </c>
      <c r="B84" s="26" t="s">
        <v>236</v>
      </c>
      <c r="C84" s="91"/>
      <c r="D84" s="146">
        <v>1203.5</v>
      </c>
      <c r="E84" s="264"/>
      <c r="F84" s="194">
        <f>SUM(D84-(D84*B1))</f>
        <v>1203.5</v>
      </c>
      <c r="G84" s="70"/>
      <c r="H84" s="99"/>
    </row>
    <row r="85" spans="1:8" ht="18" x14ac:dyDescent="0.35">
      <c r="A85" s="333" t="s">
        <v>495</v>
      </c>
      <c r="B85" s="333"/>
      <c r="C85" s="333"/>
      <c r="D85" s="333"/>
      <c r="E85" s="333"/>
      <c r="F85" s="333"/>
      <c r="G85" s="333"/>
      <c r="H85" s="333"/>
    </row>
    <row r="86" spans="1:8" ht="78" customHeight="1" x14ac:dyDescent="0.3">
      <c r="A86" s="314" t="s">
        <v>502</v>
      </c>
      <c r="B86" s="314"/>
      <c r="C86" s="314"/>
      <c r="D86" s="314"/>
      <c r="E86" s="314"/>
      <c r="F86" s="314"/>
      <c r="G86" s="314"/>
    </row>
    <row r="87" spans="1:8" ht="15.6" x14ac:dyDescent="0.3">
      <c r="A87" s="20" t="s">
        <v>18</v>
      </c>
      <c r="B87" s="20" t="s">
        <v>19</v>
      </c>
      <c r="C87" s="20"/>
      <c r="D87" s="20" t="s">
        <v>506</v>
      </c>
      <c r="E87" s="20" t="s">
        <v>460</v>
      </c>
      <c r="F87" s="20" t="s">
        <v>504</v>
      </c>
      <c r="G87" s="20" t="s">
        <v>459</v>
      </c>
      <c r="H87" s="20" t="s">
        <v>457</v>
      </c>
    </row>
    <row r="88" spans="1:8" ht="15.6" x14ac:dyDescent="0.3">
      <c r="A88" s="84" t="s">
        <v>498</v>
      </c>
      <c r="B88" s="9" t="s">
        <v>498</v>
      </c>
      <c r="C88" s="9"/>
      <c r="D88" s="144">
        <v>1327</v>
      </c>
      <c r="E88" s="280"/>
      <c r="F88" s="192">
        <f>SUM(D88-(D88*B1))</f>
        <v>1327</v>
      </c>
      <c r="G88" s="96"/>
      <c r="H88" s="96"/>
    </row>
    <row r="89" spans="1:8" ht="15.6" x14ac:dyDescent="0.3">
      <c r="A89" s="85" t="s">
        <v>499</v>
      </c>
      <c r="B89" s="35" t="s">
        <v>499</v>
      </c>
      <c r="C89" s="86"/>
      <c r="D89" s="145">
        <v>1626</v>
      </c>
      <c r="E89" s="281"/>
      <c r="F89" s="193">
        <f>SUM(D89-(D89*B1))</f>
        <v>1626</v>
      </c>
      <c r="G89" s="133"/>
      <c r="H89" s="133"/>
    </row>
    <row r="90" spans="1:8" ht="15.6" x14ac:dyDescent="0.3">
      <c r="A90" s="84" t="s">
        <v>500</v>
      </c>
      <c r="B90" s="6" t="s">
        <v>500</v>
      </c>
      <c r="C90" s="89"/>
      <c r="D90" s="144">
        <v>2080</v>
      </c>
      <c r="E90" s="262"/>
      <c r="F90" s="192">
        <f>SUM(D90-(D90*B1))</f>
        <v>2080</v>
      </c>
      <c r="G90" s="68"/>
      <c r="H90" s="97"/>
    </row>
    <row r="91" spans="1:8" ht="16.2" thickBot="1" x14ac:dyDescent="0.35">
      <c r="A91" s="92" t="s">
        <v>501</v>
      </c>
      <c r="B91" s="36" t="s">
        <v>501</v>
      </c>
      <c r="C91" s="88"/>
      <c r="D91" s="184">
        <v>2364</v>
      </c>
      <c r="E91" s="282"/>
      <c r="F91" s="202">
        <f>SUM(D91-(D91*B1))</f>
        <v>2364</v>
      </c>
      <c r="G91" s="134"/>
      <c r="H91" s="135"/>
    </row>
  </sheetData>
  <mergeCells count="29">
    <mergeCell ref="A51:H51"/>
    <mergeCell ref="A52:G52"/>
    <mergeCell ref="A12:H12"/>
    <mergeCell ref="A34:G34"/>
    <mergeCell ref="A39:G39"/>
    <mergeCell ref="A38:H38"/>
    <mergeCell ref="A44:G44"/>
    <mergeCell ref="A43:H43"/>
    <mergeCell ref="A13:G13"/>
    <mergeCell ref="A33:H33"/>
    <mergeCell ref="A26:H26"/>
    <mergeCell ref="A19:H19"/>
    <mergeCell ref="A20:G20"/>
    <mergeCell ref="A27:G27"/>
    <mergeCell ref="A2:H2"/>
    <mergeCell ref="A3:H3"/>
    <mergeCell ref="A4:H4"/>
    <mergeCell ref="A5:H5"/>
    <mergeCell ref="A6:G6"/>
    <mergeCell ref="A59:H59"/>
    <mergeCell ref="A60:G60"/>
    <mergeCell ref="A64:H64"/>
    <mergeCell ref="A65:G65"/>
    <mergeCell ref="A72:H72"/>
    <mergeCell ref="A85:H85"/>
    <mergeCell ref="A86:G86"/>
    <mergeCell ref="A73:G73"/>
    <mergeCell ref="A80:G80"/>
    <mergeCell ref="A79:H79"/>
  </mergeCells>
  <hyperlinks>
    <hyperlink ref="A19" r:id="rId1"/>
    <hyperlink ref="A26" r:id="rId2"/>
    <hyperlink ref="A38:D38" r:id="rId3" display="DVSQ-P"/>
    <hyperlink ref="A33:D33" r:id="rId4" display="DVSQ"/>
    <hyperlink ref="A43:D43" r:id="rId5" display="DVSER"/>
    <hyperlink ref="A51:D51" r:id="rId6" display="DVSR"/>
    <hyperlink ref="A59:D59" r:id="rId7" display="DVIR"/>
    <hyperlink ref="A72:D72" r:id="rId8" display="DVI"/>
    <hyperlink ref="A79:D79" r:id="rId9" display="DVKR"/>
  </hyperlinks>
  <pageMargins left="0.7" right="0.7" top="0.75" bottom="0.75" header="0.3" footer="0.3"/>
  <drawing r:id="rId1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H26"/>
  <sheetViews>
    <sheetView showGridLines="0" showRowColHeaders="0" zoomScale="85" zoomScaleNormal="85" workbookViewId="0">
      <pane ySplit="1" topLeftCell="A11" activePane="bottomLeft" state="frozen"/>
      <selection pane="bottomLeft" activeCell="H28" sqref="H28"/>
    </sheetView>
  </sheetViews>
  <sheetFormatPr defaultRowHeight="14.4" x14ac:dyDescent="0.3"/>
  <cols>
    <col min="1" max="8" width="20.77734375" customWidth="1"/>
  </cols>
  <sheetData>
    <row r="1" spans="1:8" ht="30" customHeight="1" thickBot="1" x14ac:dyDescent="0.35">
      <c r="A1" s="127" t="s">
        <v>455</v>
      </c>
      <c r="B1" s="221">
        <f>Содержание!D15</f>
        <v>0</v>
      </c>
      <c r="C1" s="127" t="s">
        <v>523</v>
      </c>
      <c r="D1" s="220">
        <f>SUM(E8*F8+E9*F9+E10*F10+E11*F11+E12*F12+E13*F13+E17*F17+E18*F18+E19*F19+E20*F20+E21*F21+E22*F22+E23*F23)</f>
        <v>0</v>
      </c>
      <c r="E1" s="127" t="s">
        <v>458</v>
      </c>
      <c r="F1" s="219">
        <f>SUM(E8*G8+E9*G9+E10*G10+E11*G11+E12*G12+E13*G13+E17*G17+E18*G18+E19*G19+E20*G20+E21*G21+E22*G22+E23*G23)</f>
        <v>0</v>
      </c>
      <c r="G1" s="127" t="s">
        <v>456</v>
      </c>
      <c r="H1" s="218">
        <f>SUM(E8*H8+E9*H9+E10*H10+E11*H11+E12*H12+E13*H13+E17*H17+E18*H18+E19*H19+E20*H20+E21*H21+E22*H22)</f>
        <v>0</v>
      </c>
    </row>
    <row r="2" spans="1:8" ht="18" x14ac:dyDescent="0.35">
      <c r="A2" s="324" t="s">
        <v>561</v>
      </c>
      <c r="B2" s="324"/>
      <c r="C2" s="324"/>
      <c r="D2" s="324"/>
      <c r="E2" s="324"/>
      <c r="F2" s="324"/>
      <c r="G2" s="324"/>
      <c r="H2" s="324"/>
    </row>
    <row r="3" spans="1:8" x14ac:dyDescent="0.3">
      <c r="A3" s="315"/>
      <c r="B3" s="315"/>
      <c r="C3" s="315"/>
      <c r="D3" s="315"/>
      <c r="E3" s="315"/>
      <c r="F3" s="315"/>
      <c r="G3" s="315"/>
      <c r="H3" s="315"/>
    </row>
    <row r="4" spans="1:8" ht="18" x14ac:dyDescent="0.35">
      <c r="A4" s="338" t="s">
        <v>388</v>
      </c>
      <c r="B4" s="338"/>
      <c r="C4" s="338"/>
      <c r="D4" s="338"/>
      <c r="E4" s="338"/>
      <c r="F4" s="338"/>
      <c r="G4" s="338"/>
      <c r="H4" s="338"/>
    </row>
    <row r="5" spans="1:8" ht="18" x14ac:dyDescent="0.35">
      <c r="A5" s="339" t="s">
        <v>240</v>
      </c>
      <c r="B5" s="339"/>
      <c r="C5" s="339"/>
      <c r="D5" s="339"/>
      <c r="E5" s="339"/>
      <c r="F5" s="339"/>
      <c r="G5" s="339"/>
      <c r="H5" s="339"/>
    </row>
    <row r="6" spans="1:8" ht="78" customHeight="1" x14ac:dyDescent="0.3">
      <c r="A6" s="314" t="s">
        <v>271</v>
      </c>
      <c r="B6" s="314"/>
      <c r="C6" s="314"/>
      <c r="D6" s="314"/>
      <c r="E6" s="314"/>
      <c r="F6" s="314"/>
      <c r="G6" s="314"/>
    </row>
    <row r="7" spans="1:8" ht="15.6" x14ac:dyDescent="0.3">
      <c r="A7" s="24" t="s">
        <v>18</v>
      </c>
      <c r="B7" s="24" t="s">
        <v>19</v>
      </c>
      <c r="C7" s="24"/>
      <c r="D7" s="24" t="s">
        <v>506</v>
      </c>
      <c r="E7" s="24" t="s">
        <v>460</v>
      </c>
      <c r="F7" s="24" t="s">
        <v>504</v>
      </c>
      <c r="G7" s="24" t="s">
        <v>459</v>
      </c>
      <c r="H7" s="24" t="s">
        <v>466</v>
      </c>
    </row>
    <row r="8" spans="1:8" ht="15.6" x14ac:dyDescent="0.3">
      <c r="A8" s="37" t="s">
        <v>248</v>
      </c>
      <c r="B8" s="37" t="s">
        <v>242</v>
      </c>
      <c r="C8" s="28"/>
      <c r="D8" s="144">
        <v>1433</v>
      </c>
      <c r="E8" s="262"/>
      <c r="F8" s="192">
        <f>SUM(D8-(D8*B1))</f>
        <v>1433</v>
      </c>
      <c r="G8" s="68"/>
      <c r="H8" s="97"/>
    </row>
    <row r="9" spans="1:8" ht="15.6" x14ac:dyDescent="0.3">
      <c r="A9" s="38" t="s">
        <v>249</v>
      </c>
      <c r="B9" s="38" t="s">
        <v>243</v>
      </c>
      <c r="C9" s="39"/>
      <c r="D9" s="185">
        <v>1847</v>
      </c>
      <c r="E9" s="273"/>
      <c r="F9" s="198">
        <f>SUM(D9-(D9*B1))</f>
        <v>1847</v>
      </c>
      <c r="G9" s="75"/>
      <c r="H9" s="113"/>
    </row>
    <row r="10" spans="1:8" ht="15.6" x14ac:dyDescent="0.3">
      <c r="A10" s="37" t="s">
        <v>250</v>
      </c>
      <c r="B10" s="37" t="s">
        <v>244</v>
      </c>
      <c r="C10" s="13"/>
      <c r="D10" s="144">
        <v>2492</v>
      </c>
      <c r="E10" s="262"/>
      <c r="F10" s="192">
        <f>SUM(D10-(D10*B1))</f>
        <v>2492</v>
      </c>
      <c r="G10" s="68"/>
      <c r="H10" s="97"/>
    </row>
    <row r="11" spans="1:8" ht="15.6" x14ac:dyDescent="0.3">
      <c r="A11" s="38" t="s">
        <v>251</v>
      </c>
      <c r="B11" s="38" t="s">
        <v>245</v>
      </c>
      <c r="C11" s="39"/>
      <c r="D11" s="185">
        <v>2933</v>
      </c>
      <c r="E11" s="285"/>
      <c r="F11" s="207">
        <f>SUM(D11-(D11*B1))</f>
        <v>2933</v>
      </c>
      <c r="G11" s="128"/>
      <c r="H11" s="129"/>
    </row>
    <row r="12" spans="1:8" ht="15.6" x14ac:dyDescent="0.3">
      <c r="A12" s="37" t="s">
        <v>252</v>
      </c>
      <c r="B12" s="37" t="s">
        <v>246</v>
      </c>
      <c r="C12" s="13"/>
      <c r="D12" s="144">
        <v>3881</v>
      </c>
      <c r="E12" s="262"/>
      <c r="F12" s="192">
        <f>SUM(D12-(D12*B1))</f>
        <v>3881</v>
      </c>
      <c r="G12" s="68"/>
      <c r="H12" s="97"/>
    </row>
    <row r="13" spans="1:8" ht="16.2" thickBot="1" x14ac:dyDescent="0.35">
      <c r="A13" s="40" t="s">
        <v>253</v>
      </c>
      <c r="B13" s="40" t="s">
        <v>247</v>
      </c>
      <c r="C13" s="41"/>
      <c r="D13" s="185">
        <v>5653</v>
      </c>
      <c r="E13" s="286"/>
      <c r="F13" s="208">
        <f>SUM(D13-(D13*B1))</f>
        <v>5653</v>
      </c>
      <c r="G13" s="130"/>
      <c r="H13" s="131"/>
    </row>
    <row r="14" spans="1:8" ht="18" x14ac:dyDescent="0.3">
      <c r="A14" s="337" t="s">
        <v>254</v>
      </c>
      <c r="B14" s="337"/>
      <c r="C14" s="337"/>
      <c r="D14" s="337"/>
      <c r="E14" s="337"/>
      <c r="F14" s="337"/>
      <c r="G14" s="337"/>
      <c r="H14" s="337"/>
    </row>
    <row r="15" spans="1:8" ht="78" customHeight="1" x14ac:dyDescent="0.3">
      <c r="A15" s="314" t="s">
        <v>272</v>
      </c>
      <c r="B15" s="314"/>
      <c r="C15" s="314"/>
      <c r="D15" s="314"/>
      <c r="E15" s="314"/>
      <c r="F15" s="314"/>
      <c r="G15" s="314"/>
    </row>
    <row r="16" spans="1:8" ht="15.6" x14ac:dyDescent="0.3">
      <c r="A16" s="42" t="s">
        <v>18</v>
      </c>
      <c r="B16" s="42" t="s">
        <v>19</v>
      </c>
      <c r="C16" s="42"/>
      <c r="D16" s="42" t="s">
        <v>506</v>
      </c>
      <c r="E16" s="24" t="s">
        <v>460</v>
      </c>
      <c r="F16" s="24" t="s">
        <v>504</v>
      </c>
      <c r="G16" s="24" t="s">
        <v>459</v>
      </c>
      <c r="H16" s="24" t="s">
        <v>466</v>
      </c>
    </row>
    <row r="17" spans="1:8" ht="15.6" x14ac:dyDescent="0.3">
      <c r="A17" s="37" t="s">
        <v>262</v>
      </c>
      <c r="B17" s="37" t="s">
        <v>255</v>
      </c>
      <c r="C17" s="37"/>
      <c r="D17" s="144">
        <v>2555.4870000000001</v>
      </c>
      <c r="E17" s="262"/>
      <c r="F17" s="192">
        <f>SUM(D17-(D17*B1))</f>
        <v>2555.4870000000001</v>
      </c>
      <c r="G17" s="68"/>
      <c r="H17" s="97"/>
    </row>
    <row r="18" spans="1:8" ht="15.6" x14ac:dyDescent="0.3">
      <c r="A18" s="38" t="s">
        <v>263</v>
      </c>
      <c r="B18" s="38" t="s">
        <v>256</v>
      </c>
      <c r="C18" s="38"/>
      <c r="D18" s="185">
        <v>2834.8650000000002</v>
      </c>
      <c r="E18" s="285"/>
      <c r="F18" s="207">
        <f>SUM(D18-(D18*B1))</f>
        <v>2834.8650000000002</v>
      </c>
      <c r="G18" s="128"/>
      <c r="H18" s="129"/>
    </row>
    <row r="19" spans="1:8" ht="15.6" x14ac:dyDescent="0.3">
      <c r="A19" s="37" t="s">
        <v>264</v>
      </c>
      <c r="B19" s="37" t="s">
        <v>257</v>
      </c>
      <c r="C19" s="37"/>
      <c r="D19" s="144">
        <v>4445.3970000000008</v>
      </c>
      <c r="E19" s="262"/>
      <c r="F19" s="192">
        <f>SUM(D19-(D19*B1))</f>
        <v>4445.3970000000008</v>
      </c>
      <c r="G19" s="68"/>
      <c r="H19" s="97"/>
    </row>
    <row r="20" spans="1:8" ht="15.6" x14ac:dyDescent="0.3">
      <c r="A20" s="38" t="s">
        <v>265</v>
      </c>
      <c r="B20" s="38" t="s">
        <v>258</v>
      </c>
      <c r="C20" s="38"/>
      <c r="D20" s="185">
        <v>4445.3970000000008</v>
      </c>
      <c r="E20" s="285"/>
      <c r="F20" s="207">
        <f>SUM(D20-(D20*B1))</f>
        <v>4445.3970000000008</v>
      </c>
      <c r="G20" s="128"/>
      <c r="H20" s="129"/>
    </row>
    <row r="21" spans="1:8" ht="15.6" x14ac:dyDescent="0.3">
      <c r="A21" s="37" t="s">
        <v>266</v>
      </c>
      <c r="B21" s="37" t="s">
        <v>259</v>
      </c>
      <c r="C21" s="37"/>
      <c r="D21" s="144">
        <v>4930.2000000000007</v>
      </c>
      <c r="E21" s="262"/>
      <c r="F21" s="192">
        <f>SUM(D21-(D21*B1))</f>
        <v>4930.2000000000007</v>
      </c>
      <c r="G21" s="68"/>
      <c r="H21" s="97"/>
    </row>
    <row r="22" spans="1:8" ht="15.6" x14ac:dyDescent="0.3">
      <c r="A22" s="38" t="s">
        <v>267</v>
      </c>
      <c r="B22" s="38" t="s">
        <v>260</v>
      </c>
      <c r="C22" s="38"/>
      <c r="D22" s="185">
        <v>7608.9420000000009</v>
      </c>
      <c r="E22" s="285"/>
      <c r="F22" s="207">
        <f>SUM(D22-(D22*B1))</f>
        <v>7608.9420000000009</v>
      </c>
      <c r="G22" s="128"/>
      <c r="H22" s="129"/>
    </row>
    <row r="23" spans="1:8" ht="16.2" thickBot="1" x14ac:dyDescent="0.35">
      <c r="A23" s="43" t="s">
        <v>268</v>
      </c>
      <c r="B23" s="43" t="s">
        <v>261</v>
      </c>
      <c r="C23" s="43"/>
      <c r="D23" s="146">
        <v>10180.863000000001</v>
      </c>
      <c r="E23" s="287"/>
      <c r="F23" s="194">
        <f>SUM(D23-(D23*B1))</f>
        <v>10180.863000000001</v>
      </c>
      <c r="G23" s="132"/>
      <c r="H23" s="132"/>
    </row>
    <row r="26" spans="1:8" ht="15.6" x14ac:dyDescent="0.3">
      <c r="G26" s="101"/>
    </row>
  </sheetData>
  <mergeCells count="7">
    <mergeCell ref="A6:G6"/>
    <mergeCell ref="A14:H14"/>
    <mergeCell ref="A15:G15"/>
    <mergeCell ref="A2:H2"/>
    <mergeCell ref="A3:H3"/>
    <mergeCell ref="A4:H4"/>
    <mergeCell ref="A5:H5"/>
  </mergeCells>
  <hyperlinks>
    <hyperlink ref="A5" r:id="rId1"/>
  </hyperlinks>
  <pageMargins left="0.7" right="0.7" top="0.75" bottom="0.75" header="0.3" footer="0.3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H54"/>
  <sheetViews>
    <sheetView showGridLines="0" showRowColHeaders="0" zoomScale="85" zoomScaleNormal="85" workbookViewId="0">
      <pane ySplit="1" topLeftCell="A2" activePane="bottomLeft" state="frozen"/>
      <selection pane="bottomLeft" activeCell="H1" sqref="H1"/>
    </sheetView>
  </sheetViews>
  <sheetFormatPr defaultRowHeight="14.4" x14ac:dyDescent="0.3"/>
  <cols>
    <col min="1" max="8" width="20.77734375" customWidth="1"/>
  </cols>
  <sheetData>
    <row r="1" spans="1:8" ht="30" customHeight="1" thickBot="1" x14ac:dyDescent="0.35">
      <c r="A1" s="138" t="s">
        <v>455</v>
      </c>
      <c r="B1" s="217">
        <f>Содержание!D15</f>
        <v>0</v>
      </c>
      <c r="C1" s="138" t="s">
        <v>523</v>
      </c>
      <c r="D1" s="216">
        <f>SUM(E8*F8+E12*F12+E16*F16+E17*F17+E18*F18+E19*F19+E20*F20+E21*F21+E22*F22+E23*F23+E24*F24+E25*F25+E26*F26+E27*F27+E28*F28+E29*F29+E30*F30+E31*F31+E32*F32+E33*F33+E34*F34+E35*F35+E36*F36+E37*F37+E38*F38+E39*F39+E43*F43+E44*F44+E45*F45+E46*F46+E50*F50+E54*F54)</f>
        <v>0</v>
      </c>
      <c r="E1" s="138" t="s">
        <v>458</v>
      </c>
      <c r="F1" s="215">
        <f>SUM(E8*G8+E12*G12+E16*G16+E17*G17+E18*G18+E19*G19+E20*G20+E21*G21+E22*G22+E23*G23+E24*G24+E25*G25+E26*G26+E27*G27+E28*G28+E29*G29+E30*G30+E31*G31+E32*G32+E33*G33+E34*G34+E35*G35+E36*G36+E37*G37+E38*G38+E39*G39+E43*G43+E44*G44+E45*G45+E46*G46+E50*G50+E54*G54)</f>
        <v>0</v>
      </c>
      <c r="G1" s="138" t="s">
        <v>456</v>
      </c>
      <c r="H1" s="214">
        <f>SUM(E8*H8+E12*H12+E16*H16+E17*H17+E18*H18+E19*H19+E20*H20+E21*H21+E22*H22+E23*H23+E24*H24+E25*H25+E26*H26+E27*H27+E28*H28+E29*H29+E30*H30+E31*H31+E32*H32+E33*H33+E34*H34+E35*H35+E36-H36+E37-H37+E38-H38+E39-H39+E43-H43+E44-H44+E45-H45+E46-H46+E54-H54)</f>
        <v>0</v>
      </c>
    </row>
    <row r="2" spans="1:8" ht="18" x14ac:dyDescent="0.35">
      <c r="A2" s="326" t="s">
        <v>561</v>
      </c>
      <c r="B2" s="326"/>
      <c r="C2" s="326"/>
      <c r="D2" s="326"/>
      <c r="E2" s="326"/>
      <c r="F2" s="326"/>
      <c r="G2" s="326"/>
      <c r="H2" s="326"/>
    </row>
    <row r="3" spans="1:8" x14ac:dyDescent="0.3">
      <c r="A3" s="315"/>
      <c r="B3" s="315"/>
      <c r="C3" s="315"/>
      <c r="D3" s="315"/>
      <c r="E3" s="315"/>
      <c r="F3" s="315"/>
      <c r="G3" s="315"/>
      <c r="H3" s="315"/>
    </row>
    <row r="4" spans="1:8" ht="18" x14ac:dyDescent="0.35">
      <c r="A4" s="329" t="s">
        <v>269</v>
      </c>
      <c r="B4" s="329"/>
      <c r="C4" s="329"/>
      <c r="D4" s="329"/>
      <c r="E4" s="329"/>
      <c r="F4" s="329"/>
      <c r="G4" s="329"/>
      <c r="H4" s="329"/>
    </row>
    <row r="5" spans="1:8" ht="18" x14ac:dyDescent="0.35">
      <c r="A5" s="342" t="s">
        <v>270</v>
      </c>
      <c r="B5" s="342"/>
      <c r="C5" s="342"/>
      <c r="D5" s="342"/>
      <c r="E5" s="342"/>
      <c r="F5" s="342"/>
      <c r="G5" s="342"/>
      <c r="H5" s="342"/>
    </row>
    <row r="6" spans="1:8" ht="78" customHeight="1" x14ac:dyDescent="0.3">
      <c r="A6" s="314" t="s">
        <v>276</v>
      </c>
      <c r="B6" s="314"/>
      <c r="C6" s="314"/>
      <c r="D6" s="314"/>
      <c r="E6" s="314"/>
      <c r="F6" s="314"/>
      <c r="G6" s="314"/>
    </row>
    <row r="7" spans="1:8" ht="15.6" x14ac:dyDescent="0.3">
      <c r="A7" s="44" t="s">
        <v>18</v>
      </c>
      <c r="B7" s="44" t="s">
        <v>19</v>
      </c>
      <c r="C7" s="44"/>
      <c r="D7" s="44" t="s">
        <v>506</v>
      </c>
      <c r="E7" s="27" t="s">
        <v>460</v>
      </c>
      <c r="F7" s="27" t="s">
        <v>504</v>
      </c>
      <c r="G7" s="27" t="s">
        <v>459</v>
      </c>
      <c r="H7" s="27" t="s">
        <v>457</v>
      </c>
    </row>
    <row r="8" spans="1:8" ht="16.2" thickBot="1" x14ac:dyDescent="0.35">
      <c r="A8" s="43" t="s">
        <v>273</v>
      </c>
      <c r="B8" s="43" t="s">
        <v>270</v>
      </c>
      <c r="C8" s="43"/>
      <c r="D8" s="146">
        <v>96.8</v>
      </c>
      <c r="E8" s="267"/>
      <c r="F8" s="194">
        <f>SUM(D8-(D8*B1))</f>
        <v>96.8</v>
      </c>
      <c r="G8" s="23"/>
      <c r="H8" s="23"/>
    </row>
    <row r="9" spans="1:8" ht="18" x14ac:dyDescent="0.35">
      <c r="A9" s="340" t="s">
        <v>274</v>
      </c>
      <c r="B9" s="340"/>
      <c r="C9" s="340"/>
      <c r="D9" s="340"/>
      <c r="E9" s="340"/>
      <c r="F9" s="340"/>
      <c r="G9" s="340"/>
      <c r="H9" s="340"/>
    </row>
    <row r="10" spans="1:8" ht="78" customHeight="1" x14ac:dyDescent="0.3">
      <c r="A10" s="314" t="s">
        <v>275</v>
      </c>
      <c r="B10" s="314"/>
      <c r="C10" s="314"/>
      <c r="D10" s="314"/>
      <c r="E10" s="314"/>
      <c r="F10" s="314"/>
      <c r="G10" s="314"/>
    </row>
    <row r="11" spans="1:8" ht="15.6" x14ac:dyDescent="0.3">
      <c r="A11" s="27" t="s">
        <v>18</v>
      </c>
      <c r="B11" s="27" t="s">
        <v>19</v>
      </c>
      <c r="C11" s="27"/>
      <c r="D11" s="76" t="s">
        <v>506</v>
      </c>
      <c r="E11" s="27" t="s">
        <v>460</v>
      </c>
      <c r="F11" s="27" t="s">
        <v>504</v>
      </c>
      <c r="G11" s="27" t="s">
        <v>459</v>
      </c>
      <c r="H11" s="27" t="s">
        <v>457</v>
      </c>
    </row>
    <row r="12" spans="1:8" ht="16.2" thickBot="1" x14ac:dyDescent="0.35">
      <c r="A12" s="22" t="s">
        <v>277</v>
      </c>
      <c r="B12" s="22" t="s">
        <v>274</v>
      </c>
      <c r="C12" s="22"/>
      <c r="D12" s="146">
        <v>5023</v>
      </c>
      <c r="E12" s="267"/>
      <c r="F12" s="194">
        <f>SUM(D12-(D12*B1))</f>
        <v>5023</v>
      </c>
      <c r="G12" s="23"/>
      <c r="H12" s="23"/>
    </row>
    <row r="13" spans="1:8" ht="18" x14ac:dyDescent="0.3">
      <c r="A13" s="343" t="s">
        <v>278</v>
      </c>
      <c r="B13" s="343"/>
      <c r="C13" s="343"/>
      <c r="D13" s="343"/>
      <c r="E13" s="343"/>
      <c r="F13" s="343"/>
      <c r="G13" s="343"/>
      <c r="H13" s="343"/>
    </row>
    <row r="14" spans="1:8" ht="78" customHeight="1" x14ac:dyDescent="0.3">
      <c r="A14" s="314" t="s">
        <v>303</v>
      </c>
      <c r="B14" s="314"/>
      <c r="C14" s="314"/>
      <c r="D14" s="314"/>
      <c r="E14" s="314"/>
      <c r="F14" s="314"/>
      <c r="G14" s="314"/>
    </row>
    <row r="15" spans="1:8" ht="15.6" x14ac:dyDescent="0.3">
      <c r="A15" s="44" t="s">
        <v>18</v>
      </c>
      <c r="B15" s="44" t="s">
        <v>19</v>
      </c>
      <c r="C15" s="44"/>
      <c r="D15" s="78" t="s">
        <v>506</v>
      </c>
      <c r="E15" s="27" t="s">
        <v>460</v>
      </c>
      <c r="F15" s="27" t="s">
        <v>504</v>
      </c>
      <c r="G15" s="27" t="s">
        <v>459</v>
      </c>
      <c r="H15" s="27" t="s">
        <v>457</v>
      </c>
    </row>
    <row r="16" spans="1:8" ht="15.6" x14ac:dyDescent="0.3">
      <c r="A16" s="37" t="s">
        <v>279</v>
      </c>
      <c r="B16" s="37" t="s">
        <v>494</v>
      </c>
      <c r="C16" s="37"/>
      <c r="D16" s="144">
        <v>320.46300000000002</v>
      </c>
      <c r="E16" s="283"/>
      <c r="F16" s="192">
        <f>SUM(D16-(D16*B1))</f>
        <v>320.46300000000002</v>
      </c>
    </row>
    <row r="17" spans="1:8" ht="15.6" x14ac:dyDescent="0.3">
      <c r="A17" s="47" t="s">
        <v>280</v>
      </c>
      <c r="B17" s="47" t="s">
        <v>304</v>
      </c>
      <c r="C17" s="47"/>
      <c r="D17" s="177">
        <v>345.11400000000003</v>
      </c>
      <c r="E17" s="288"/>
      <c r="F17" s="200">
        <f>SUM(D17-(D17*B1))</f>
        <v>345.11400000000003</v>
      </c>
      <c r="G17" s="139"/>
      <c r="H17" s="139"/>
    </row>
    <row r="18" spans="1:8" ht="15.6" x14ac:dyDescent="0.3">
      <c r="A18" s="37" t="s">
        <v>281</v>
      </c>
      <c r="B18" s="37" t="s">
        <v>305</v>
      </c>
      <c r="C18" s="37"/>
      <c r="D18" s="144">
        <v>369.76500000000004</v>
      </c>
      <c r="E18" s="283"/>
      <c r="F18" s="192">
        <f>SUM(D18-(D18*B1))</f>
        <v>369.76500000000004</v>
      </c>
    </row>
    <row r="19" spans="1:8" ht="15.6" x14ac:dyDescent="0.3">
      <c r="A19" s="47" t="s">
        <v>282</v>
      </c>
      <c r="B19" s="47" t="s">
        <v>306</v>
      </c>
      <c r="C19" s="47"/>
      <c r="D19" s="177">
        <v>394.41600000000005</v>
      </c>
      <c r="E19" s="288"/>
      <c r="F19" s="200">
        <f>SUM(D19-(D19*B1))</f>
        <v>394.41600000000005</v>
      </c>
      <c r="G19" s="139"/>
      <c r="H19" s="139"/>
    </row>
    <row r="20" spans="1:8" ht="15.6" x14ac:dyDescent="0.3">
      <c r="A20" s="37" t="s">
        <v>283</v>
      </c>
      <c r="B20" s="37" t="s">
        <v>307</v>
      </c>
      <c r="C20" s="37"/>
      <c r="D20" s="144">
        <v>394.41600000000005</v>
      </c>
      <c r="E20" s="283"/>
      <c r="F20" s="192">
        <f>SUM(D20-(D20*B1))</f>
        <v>394.41600000000005</v>
      </c>
    </row>
    <row r="21" spans="1:8" ht="15.6" x14ac:dyDescent="0.3">
      <c r="A21" s="47" t="s">
        <v>284</v>
      </c>
      <c r="B21" s="47" t="s">
        <v>308</v>
      </c>
      <c r="C21" s="47"/>
      <c r="D21" s="177">
        <v>435.50100000000009</v>
      </c>
      <c r="E21" s="288"/>
      <c r="F21" s="200">
        <f>SUM(D21-(D21*B1))</f>
        <v>435.50100000000009</v>
      </c>
      <c r="G21" s="139"/>
      <c r="H21" s="139"/>
    </row>
    <row r="22" spans="1:8" ht="15.6" x14ac:dyDescent="0.3">
      <c r="A22" s="37" t="s">
        <v>285</v>
      </c>
      <c r="B22" s="37" t="s">
        <v>309</v>
      </c>
      <c r="C22" s="37"/>
      <c r="D22" s="144">
        <v>460.15200000000004</v>
      </c>
      <c r="E22" s="283"/>
      <c r="F22" s="192">
        <f>SUM(D22-(D22*B1))</f>
        <v>460.15200000000004</v>
      </c>
    </row>
    <row r="23" spans="1:8" ht="15.6" x14ac:dyDescent="0.3">
      <c r="A23" s="47" t="s">
        <v>286</v>
      </c>
      <c r="B23" s="47" t="s">
        <v>310</v>
      </c>
      <c r="C23" s="47"/>
      <c r="D23" s="177">
        <v>484.80300000000005</v>
      </c>
      <c r="E23" s="288"/>
      <c r="F23" s="200">
        <f>SUM(D23-(D23*B1))</f>
        <v>484.80300000000005</v>
      </c>
      <c r="G23" s="139"/>
      <c r="H23" s="139"/>
    </row>
    <row r="24" spans="1:8" ht="15.6" x14ac:dyDescent="0.3">
      <c r="A24" s="37" t="s">
        <v>287</v>
      </c>
      <c r="B24" s="37" t="s">
        <v>311</v>
      </c>
      <c r="C24" s="37"/>
      <c r="D24" s="144">
        <v>525.88800000000003</v>
      </c>
      <c r="E24" s="283"/>
      <c r="F24" s="192">
        <f>SUM(D24-(D24*B1))</f>
        <v>525.88800000000003</v>
      </c>
    </row>
    <row r="25" spans="1:8" ht="15.6" x14ac:dyDescent="0.3">
      <c r="A25" s="47" t="s">
        <v>288</v>
      </c>
      <c r="B25" s="47" t="s">
        <v>312</v>
      </c>
      <c r="C25" s="47"/>
      <c r="D25" s="177">
        <v>583.40700000000004</v>
      </c>
      <c r="E25" s="288"/>
      <c r="F25" s="200">
        <f>SUM(D25-(D25*B1))</f>
        <v>583.40700000000004</v>
      </c>
      <c r="G25" s="139"/>
      <c r="H25" s="139"/>
    </row>
    <row r="26" spans="1:8" ht="15.6" x14ac:dyDescent="0.3">
      <c r="A26" s="37" t="s">
        <v>289</v>
      </c>
      <c r="B26" s="37" t="s">
        <v>313</v>
      </c>
      <c r="C26" s="37"/>
      <c r="D26" s="144">
        <v>747.74700000000007</v>
      </c>
      <c r="E26" s="283"/>
      <c r="F26" s="192">
        <f>SUM(D26-(D26*B1))</f>
        <v>747.74700000000007</v>
      </c>
    </row>
    <row r="27" spans="1:8" ht="15.6" x14ac:dyDescent="0.3">
      <c r="A27" s="47" t="s">
        <v>290</v>
      </c>
      <c r="B27" s="47" t="s">
        <v>314</v>
      </c>
      <c r="C27" s="47"/>
      <c r="D27" s="177">
        <v>813.48300000000017</v>
      </c>
      <c r="E27" s="288"/>
      <c r="F27" s="200">
        <f>SUM(D27-(D27*B1))</f>
        <v>813.48300000000017</v>
      </c>
      <c r="G27" s="139"/>
      <c r="H27" s="139"/>
    </row>
    <row r="28" spans="1:8" ht="15.6" x14ac:dyDescent="0.3">
      <c r="A28" s="37" t="s">
        <v>291</v>
      </c>
      <c r="B28" s="37" t="s">
        <v>315</v>
      </c>
      <c r="C28" s="37"/>
      <c r="D28" s="144">
        <v>887.43600000000015</v>
      </c>
      <c r="E28" s="283"/>
      <c r="F28" s="192">
        <f>SUM(D28-(D28*B1))</f>
        <v>887.43600000000015</v>
      </c>
    </row>
    <row r="29" spans="1:8" ht="15.6" x14ac:dyDescent="0.3">
      <c r="A29" s="47" t="s">
        <v>292</v>
      </c>
      <c r="B29" s="47" t="s">
        <v>316</v>
      </c>
      <c r="C29" s="47"/>
      <c r="D29" s="177">
        <v>953.17200000000003</v>
      </c>
      <c r="E29" s="288"/>
      <c r="F29" s="200">
        <f>SUM(D29-(D29*B1))</f>
        <v>953.17200000000003</v>
      </c>
      <c r="G29" s="139"/>
      <c r="H29" s="139"/>
    </row>
    <row r="30" spans="1:8" ht="15.6" x14ac:dyDescent="0.3">
      <c r="A30" s="37" t="s">
        <v>293</v>
      </c>
      <c r="B30" s="37" t="s">
        <v>317</v>
      </c>
      <c r="C30" s="37"/>
      <c r="D30" s="144">
        <v>1002.4740000000002</v>
      </c>
      <c r="E30" s="283"/>
      <c r="F30" s="192">
        <f>SUM(D30-(D30*B1))</f>
        <v>1002.4740000000002</v>
      </c>
    </row>
    <row r="31" spans="1:8" ht="15.6" x14ac:dyDescent="0.3">
      <c r="A31" s="47" t="s">
        <v>294</v>
      </c>
      <c r="B31" s="47" t="s">
        <v>318</v>
      </c>
      <c r="C31" s="47"/>
      <c r="D31" s="177">
        <v>1027.125</v>
      </c>
      <c r="E31" s="288"/>
      <c r="F31" s="200">
        <f>SUM(D31-(D31*B1))</f>
        <v>1027.125</v>
      </c>
      <c r="G31" s="139"/>
      <c r="H31" s="139"/>
    </row>
    <row r="32" spans="1:8" ht="15.6" x14ac:dyDescent="0.3">
      <c r="A32" s="37" t="s">
        <v>295</v>
      </c>
      <c r="B32" s="37" t="s">
        <v>319</v>
      </c>
      <c r="C32" s="37"/>
      <c r="D32" s="144">
        <v>1076.4270000000001</v>
      </c>
      <c r="E32" s="283"/>
      <c r="F32" s="192">
        <f>SUM(D32-(D32*B1))</f>
        <v>1076.4270000000001</v>
      </c>
    </row>
    <row r="33" spans="1:8" ht="15.6" x14ac:dyDescent="0.3">
      <c r="A33" s="47" t="s">
        <v>296</v>
      </c>
      <c r="B33" s="47" t="s">
        <v>320</v>
      </c>
      <c r="C33" s="47"/>
      <c r="D33" s="177">
        <v>1158.597</v>
      </c>
      <c r="E33" s="288"/>
      <c r="F33" s="200">
        <f>SUM(D33-(D33*B1))</f>
        <v>1158.597</v>
      </c>
      <c r="G33" s="139"/>
      <c r="H33" s="139"/>
    </row>
    <row r="34" spans="1:8" ht="15.6" x14ac:dyDescent="0.3">
      <c r="A34" s="37" t="s">
        <v>297</v>
      </c>
      <c r="B34" s="37" t="s">
        <v>321</v>
      </c>
      <c r="C34" s="37"/>
      <c r="D34" s="144">
        <v>1216.1160000000002</v>
      </c>
      <c r="E34" s="283"/>
      <c r="F34" s="192">
        <f>SUM(D34-(D34*B1))</f>
        <v>1216.1160000000002</v>
      </c>
    </row>
    <row r="35" spans="1:8" ht="15.6" x14ac:dyDescent="0.3">
      <c r="A35" s="47" t="s">
        <v>298</v>
      </c>
      <c r="B35" s="47" t="s">
        <v>322</v>
      </c>
      <c r="C35" s="47"/>
      <c r="D35" s="177">
        <v>1257.2010000000002</v>
      </c>
      <c r="E35" s="288"/>
      <c r="F35" s="200">
        <f>SUM(D35-(D35*B1))</f>
        <v>1257.2010000000002</v>
      </c>
      <c r="G35" s="139"/>
      <c r="H35" s="139"/>
    </row>
    <row r="36" spans="1:8" ht="15.6" x14ac:dyDescent="0.3">
      <c r="A36" s="37" t="s">
        <v>299</v>
      </c>
      <c r="B36" s="37" t="s">
        <v>323</v>
      </c>
      <c r="C36" s="37"/>
      <c r="D36" s="144">
        <v>1454.4090000000001</v>
      </c>
      <c r="E36" s="283"/>
      <c r="F36" s="192">
        <f>SUM(D36-(D36*B1))</f>
        <v>1454.4090000000001</v>
      </c>
    </row>
    <row r="37" spans="1:8" ht="15.6" x14ac:dyDescent="0.3">
      <c r="A37" s="47" t="s">
        <v>300</v>
      </c>
      <c r="B37" s="47" t="s">
        <v>324</v>
      </c>
      <c r="C37" s="47"/>
      <c r="D37" s="177">
        <v>1676.268</v>
      </c>
      <c r="E37" s="288"/>
      <c r="F37" s="200">
        <f>SUM(D37-(D37*B1))</f>
        <v>1676.268</v>
      </c>
      <c r="G37" s="139"/>
      <c r="H37" s="139"/>
    </row>
    <row r="38" spans="1:8" ht="15.6" x14ac:dyDescent="0.3">
      <c r="A38" s="37" t="s">
        <v>301</v>
      </c>
      <c r="B38" s="37" t="s">
        <v>325</v>
      </c>
      <c r="C38" s="37"/>
      <c r="D38" s="144">
        <v>2037.8160000000003</v>
      </c>
      <c r="E38" s="283"/>
      <c r="F38" s="192">
        <f>SUM(D38-(D38*B1))</f>
        <v>2037.8160000000003</v>
      </c>
    </row>
    <row r="39" spans="1:8" ht="16.2" thickBot="1" x14ac:dyDescent="0.35">
      <c r="A39" s="49" t="s">
        <v>302</v>
      </c>
      <c r="B39" s="49" t="s">
        <v>326</v>
      </c>
      <c r="C39" s="49"/>
      <c r="D39" s="177">
        <v>3426.4890000000005</v>
      </c>
      <c r="E39" s="289"/>
      <c r="F39" s="201">
        <f>SUM(D39-(D39*B1))</f>
        <v>3426.4890000000005</v>
      </c>
      <c r="G39" s="141"/>
      <c r="H39" s="141"/>
    </row>
    <row r="40" spans="1:8" ht="18" x14ac:dyDescent="0.3">
      <c r="A40" s="344" t="s">
        <v>327</v>
      </c>
      <c r="B40" s="344"/>
      <c r="C40" s="344"/>
      <c r="D40" s="344"/>
      <c r="E40" s="344"/>
      <c r="F40" s="344"/>
      <c r="G40" s="344"/>
      <c r="H40" s="344"/>
    </row>
    <row r="41" spans="1:8" ht="78" customHeight="1" x14ac:dyDescent="0.3">
      <c r="A41" s="314" t="s">
        <v>390</v>
      </c>
      <c r="B41" s="314"/>
      <c r="C41" s="314"/>
      <c r="D41" s="314"/>
      <c r="E41" s="314"/>
      <c r="F41" s="314"/>
      <c r="G41" s="314"/>
    </row>
    <row r="42" spans="1:8" ht="15.6" x14ac:dyDescent="0.3">
      <c r="A42" s="44" t="s">
        <v>18</v>
      </c>
      <c r="B42" s="44" t="s">
        <v>19</v>
      </c>
      <c r="C42" s="44"/>
      <c r="D42" s="78" t="s">
        <v>506</v>
      </c>
      <c r="E42" s="27" t="s">
        <v>460</v>
      </c>
      <c r="F42" s="27" t="s">
        <v>504</v>
      </c>
      <c r="G42" s="27" t="s">
        <v>459</v>
      </c>
      <c r="H42" s="27" t="s">
        <v>457</v>
      </c>
    </row>
    <row r="43" spans="1:8" ht="15.6" x14ac:dyDescent="0.3">
      <c r="A43" s="45" t="s">
        <v>332</v>
      </c>
      <c r="B43" s="45" t="s">
        <v>328</v>
      </c>
      <c r="C43" s="50"/>
      <c r="D43" s="144">
        <v>8506.7999999999993</v>
      </c>
      <c r="E43" s="283"/>
      <c r="F43" s="192">
        <f>SUM(D43-(D43*B1))</f>
        <v>8506.7999999999993</v>
      </c>
    </row>
    <row r="44" spans="1:8" ht="15.6" x14ac:dyDescent="0.3">
      <c r="A44" s="46" t="s">
        <v>333</v>
      </c>
      <c r="B44" s="46" t="s">
        <v>329</v>
      </c>
      <c r="C44" s="51"/>
      <c r="D44" s="177">
        <v>9160.7999999999993</v>
      </c>
      <c r="E44" s="288"/>
      <c r="F44" s="200">
        <f>SUM(D44-(D44*B1))</f>
        <v>9160.7999999999993</v>
      </c>
      <c r="G44" s="139"/>
      <c r="H44" s="139"/>
    </row>
    <row r="45" spans="1:8" ht="15.6" x14ac:dyDescent="0.3">
      <c r="A45" s="45" t="s">
        <v>334</v>
      </c>
      <c r="B45" s="45" t="s">
        <v>330</v>
      </c>
      <c r="C45" s="50"/>
      <c r="D45" s="144">
        <v>10281.6</v>
      </c>
      <c r="E45" s="283"/>
      <c r="F45" s="192">
        <f>SUM(D45-(D45*B1))</f>
        <v>10281.6</v>
      </c>
    </row>
    <row r="46" spans="1:8" ht="16.2" thickBot="1" x14ac:dyDescent="0.35">
      <c r="A46" s="48" t="s">
        <v>335</v>
      </c>
      <c r="B46" s="48" t="s">
        <v>331</v>
      </c>
      <c r="C46" s="52"/>
      <c r="D46" s="178">
        <v>13149.6</v>
      </c>
      <c r="E46" s="289"/>
      <c r="F46" s="201">
        <f>SUM(D46-(D46*B1))</f>
        <v>13149.6</v>
      </c>
      <c r="G46" s="141"/>
      <c r="H46" s="141"/>
    </row>
    <row r="47" spans="1:8" ht="18" x14ac:dyDescent="0.35">
      <c r="A47" s="342" t="s">
        <v>338</v>
      </c>
      <c r="B47" s="342"/>
      <c r="C47" s="342"/>
      <c r="D47" s="342"/>
      <c r="E47" s="342"/>
      <c r="F47" s="342"/>
      <c r="G47" s="342"/>
      <c r="H47" s="342"/>
    </row>
    <row r="48" spans="1:8" ht="78" customHeight="1" x14ac:dyDescent="0.3">
      <c r="A48" s="314" t="s">
        <v>337</v>
      </c>
      <c r="B48" s="314"/>
      <c r="C48" s="314"/>
      <c r="D48" s="314"/>
      <c r="E48" s="314"/>
      <c r="F48" s="314"/>
      <c r="G48" s="314"/>
    </row>
    <row r="49" spans="1:8" ht="15.6" x14ac:dyDescent="0.3">
      <c r="A49" s="44" t="s">
        <v>18</v>
      </c>
      <c r="B49" s="44" t="s">
        <v>19</v>
      </c>
      <c r="C49" s="44"/>
      <c r="D49" s="78" t="s">
        <v>506</v>
      </c>
      <c r="E49" s="27" t="s">
        <v>460</v>
      </c>
      <c r="F49" s="27" t="s">
        <v>504</v>
      </c>
      <c r="G49" s="27" t="s">
        <v>459</v>
      </c>
      <c r="H49" s="27" t="s">
        <v>457</v>
      </c>
    </row>
    <row r="50" spans="1:8" ht="16.2" thickBot="1" x14ac:dyDescent="0.35">
      <c r="A50" s="53" t="s">
        <v>497</v>
      </c>
      <c r="B50" s="53" t="s">
        <v>336</v>
      </c>
      <c r="C50" s="54"/>
      <c r="D50" s="146">
        <v>2293</v>
      </c>
      <c r="E50" s="290"/>
      <c r="F50" s="192">
        <f>SUM(D50-(D50*B1))</f>
        <v>2293</v>
      </c>
      <c r="G50" s="132"/>
      <c r="H50" s="132"/>
    </row>
    <row r="51" spans="1:8" ht="18" x14ac:dyDescent="0.35">
      <c r="A51" s="340" t="s">
        <v>340</v>
      </c>
      <c r="B51" s="340"/>
      <c r="C51" s="340"/>
      <c r="D51" s="340"/>
      <c r="E51" s="340"/>
      <c r="F51" s="340"/>
      <c r="G51" s="340"/>
      <c r="H51" s="340"/>
    </row>
    <row r="52" spans="1:8" ht="78" customHeight="1" x14ac:dyDescent="0.3">
      <c r="A52" s="341" t="s">
        <v>339</v>
      </c>
      <c r="B52" s="341"/>
      <c r="C52" s="341"/>
      <c r="D52" s="341"/>
      <c r="E52" s="341"/>
      <c r="F52" s="341"/>
      <c r="G52" s="341"/>
    </row>
    <row r="53" spans="1:8" ht="15.6" x14ac:dyDescent="0.3">
      <c r="A53" s="44" t="s">
        <v>18</v>
      </c>
      <c r="B53" s="44" t="s">
        <v>19</v>
      </c>
      <c r="C53" s="44"/>
      <c r="D53" s="78" t="s">
        <v>506</v>
      </c>
      <c r="E53" s="27" t="s">
        <v>460</v>
      </c>
      <c r="F53" s="27" t="s">
        <v>504</v>
      </c>
      <c r="G53" s="27" t="s">
        <v>459</v>
      </c>
      <c r="H53" s="27" t="s">
        <v>457</v>
      </c>
    </row>
    <row r="54" spans="1:8" ht="16.2" thickBot="1" x14ac:dyDescent="0.35">
      <c r="A54" s="43" t="s">
        <v>340</v>
      </c>
      <c r="B54" s="43" t="s">
        <v>341</v>
      </c>
      <c r="C54" s="55"/>
      <c r="D54" s="186">
        <v>67.600000000000009</v>
      </c>
      <c r="E54" s="290"/>
      <c r="F54" s="194">
        <f>SUM(D54-(D54*B1))</f>
        <v>67.600000000000009</v>
      </c>
      <c r="G54" s="132"/>
      <c r="H54" s="132"/>
    </row>
  </sheetData>
  <mergeCells count="15">
    <mergeCell ref="A10:G10"/>
    <mergeCell ref="A9:H9"/>
    <mergeCell ref="A3:H3"/>
    <mergeCell ref="A2:H2"/>
    <mergeCell ref="A4:H4"/>
    <mergeCell ref="A5:H5"/>
    <mergeCell ref="A6:G6"/>
    <mergeCell ref="A51:H51"/>
    <mergeCell ref="A52:G52"/>
    <mergeCell ref="A47:H47"/>
    <mergeCell ref="A13:H13"/>
    <mergeCell ref="A14:G14"/>
    <mergeCell ref="A40:H40"/>
    <mergeCell ref="A41:G41"/>
    <mergeCell ref="A48:G48"/>
  </mergeCells>
  <hyperlinks>
    <hyperlink ref="A5" r:id="rId1" display="Multiclamp"/>
    <hyperlink ref="A9" r:id="rId2"/>
    <hyperlink ref="A13" r:id="rId3"/>
    <hyperlink ref="A40" r:id="rId4"/>
    <hyperlink ref="A47" r:id="rId5" display="Монтажная лента PP/PZ"/>
    <hyperlink ref="A51" r:id="rId6" display="QCL 780"/>
  </hyperlinks>
  <pageMargins left="0.7" right="0.7" top="0.75" bottom="0.75" header="0.3" footer="0.3"/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Диаграммы</vt:lpstr>
      </vt:variant>
      <vt:variant>
        <vt:i4>2</vt:i4>
      </vt:variant>
    </vt:vector>
  </HeadingPairs>
  <TitlesOfParts>
    <vt:vector size="12" baseType="lpstr">
      <vt:lpstr>Содержание</vt:lpstr>
      <vt:lpstr>Ламинированные</vt:lpstr>
      <vt:lpstr>Синтетические</vt:lpstr>
      <vt:lpstr>Изолированные</vt:lpstr>
      <vt:lpstr>Полужесткие</vt:lpstr>
      <vt:lpstr>Шумоглушители</vt:lpstr>
      <vt:lpstr>Диффузоры</vt:lpstr>
      <vt:lpstr>Клапаны</vt:lpstr>
      <vt:lpstr>Монтаж</vt:lpstr>
      <vt:lpstr>Герметизация</vt:lpstr>
      <vt:lpstr>Диаграмма2</vt:lpstr>
      <vt:lpstr>Диаграмма1</vt:lpstr>
    </vt:vector>
  </TitlesOfParts>
  <Company>ПЯТЫЙ СЕЗОН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DEC INTERNATIONAL Price list 2026.08.01</dc:subject>
  <dc:creator>Sverchkov</dc:creator>
  <cp:lastModifiedBy>Михаил Глебович Сверчков</cp:lastModifiedBy>
  <cp:lastPrinted>2020-02-14T11:19:58Z</cp:lastPrinted>
  <dcterms:created xsi:type="dcterms:W3CDTF">2020-02-10T07:43:04Z</dcterms:created>
  <dcterms:modified xsi:type="dcterms:W3CDTF">2026-08-10T14:03:49Z</dcterms:modified>
</cp:coreProperties>
</file>